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975" tabRatio="909" activeTab="2"/>
  </bookViews>
  <sheets>
    <sheet name="Identificação" sheetId="1" r:id="rId1"/>
    <sheet name="Orçamento" sheetId="2" r:id="rId2"/>
    <sheet name="Quantitativo Obra" sheetId="3" r:id="rId3"/>
    <sheet name="anexos Esp. Brita" sheetId="4" r:id="rId4"/>
    <sheet name="Memorial Custo" sheetId="5" r:id="rId5"/>
  </sheets>
  <definedNames>
    <definedName name="_PictureBullets" localSheetId="3">'anexos Esp. Brita'!$A$15</definedName>
    <definedName name="_xlnm.Print_Area" localSheetId="0">'Identificação'!$A$1:$E$36</definedName>
    <definedName name="_xlnm.Print_Area" localSheetId="2">'Quantitativo Obra'!$A$1:$Y$107</definedName>
    <definedName name="OLE_LINK12" localSheetId="3">'anexos Esp. Brita'!#REF!</definedName>
  </definedNames>
  <calcPr fullCalcOnLoad="1"/>
</workbook>
</file>

<file path=xl/sharedStrings.xml><?xml version="1.0" encoding="utf-8"?>
<sst xmlns="http://schemas.openxmlformats.org/spreadsheetml/2006/main" count="851" uniqueCount="394">
  <si>
    <t>03-581-01-2017</t>
  </si>
  <si>
    <r>
      <t xml:space="preserve">2.1.) 5.814 ( Cinco mil Oitocentos e quatroze) </t>
    </r>
    <r>
      <rPr>
        <sz val="12"/>
        <rFont val="Arial"/>
        <family val="2"/>
      </rPr>
      <t>metros cúbicos de material granular Brita Graduada</t>
    </r>
    <r>
      <rPr>
        <b/>
        <sz val="12"/>
        <rFont val="Arial"/>
        <family val="2"/>
      </rPr>
      <t>.</t>
    </r>
  </si>
  <si>
    <t>Placa de divulgação m2</t>
  </si>
  <si>
    <t>Placas de segurança - unidade</t>
  </si>
  <si>
    <t>Especificação Tecnica da Brita- Material granular a utilizar</t>
  </si>
  <si>
    <r>
      <t xml:space="preserve">c) </t>
    </r>
    <r>
      <rPr>
        <sz val="12"/>
        <rFont val="Arial"/>
        <family val="2"/>
      </rPr>
      <t>os agregados utilizados a partir da britagem e classificação de rocha sã devem constituir-se por fragmentos duros, limpos e duráveis, livres de excesso de partículas macias (friáveis) ou de fácil desintegração, assim como de outras substâncias ou contaminantes prejudiciais;</t>
    </r>
  </si>
  <si>
    <r>
      <t xml:space="preserve">d) </t>
    </r>
    <r>
      <rPr>
        <sz val="12"/>
        <rFont val="Arial"/>
        <family val="2"/>
      </rPr>
      <t>desgaste no ensaio de abrasão Los Angeles, conforme NBR NM51, inferior a 50%;</t>
    </r>
  </si>
  <si>
    <r>
      <t xml:space="preserve">e) </t>
    </r>
    <r>
      <rPr>
        <sz val="12"/>
        <rFont val="Arial"/>
        <family val="2"/>
      </rPr>
      <t>equivalente de areia do agregado miúdo, conforme NBR 12052, superior a 55%;</t>
    </r>
  </si>
  <si>
    <r>
      <t xml:space="preserve">f) </t>
    </r>
    <r>
      <rPr>
        <sz val="12"/>
        <rFont val="Arial"/>
        <family val="2"/>
      </rPr>
      <t>índice de forma superior a 0,5 e porcentagem de partículas lamelares inferior a 10%, conforme NBR 6954; e</t>
    </r>
  </si>
  <si>
    <r>
      <t xml:space="preserve">g) </t>
    </r>
    <r>
      <rPr>
        <sz val="12"/>
        <rFont val="Arial"/>
        <family val="2"/>
      </rPr>
      <t>a perda no ensaio de durabilidade conforme DNER ME 089, em cinco ciclos, com solução de sulfato de sódio, deve ser inferior a 20%, e com sulfato de magnésio inferior a 30%.</t>
    </r>
  </si>
  <si>
    <r>
      <t xml:space="preserve">h) </t>
    </r>
    <r>
      <rPr>
        <sz val="12"/>
        <rFont val="Arial"/>
        <family val="2"/>
      </rPr>
      <t>o material granular só será aceito após apresentação da licença de operação da empresa fornecedora junto ao órgão ambiental competente, não sendo aceitos protocolos.</t>
    </r>
  </si>
  <si>
    <r>
      <t>1.1.1.</t>
    </r>
    <r>
      <rPr>
        <b/>
        <u val="single"/>
        <sz val="14"/>
        <rFont val="Arial"/>
        <family val="2"/>
      </rPr>
      <t>Requisitos da Exploração dos Agregados</t>
    </r>
    <r>
      <rPr>
        <b/>
        <sz val="14"/>
        <rFont val="Arial"/>
        <family val="2"/>
      </rPr>
      <t>:</t>
    </r>
  </si>
  <si>
    <r>
      <t xml:space="preserve">a) </t>
    </r>
    <r>
      <rPr>
        <sz val="12"/>
        <rFont val="Arial"/>
        <family val="2"/>
      </rPr>
      <t>o material granular só será aceito após apresentação, pela empresa fornecedora, de documentação que ateste a regularidade das instalações da pedreira de origem, assim como sua licença de operação junto ao órgão ambiental competente;</t>
    </r>
  </si>
  <si>
    <r>
      <t xml:space="preserve">b) </t>
    </r>
    <r>
      <rPr>
        <sz val="12"/>
        <rFont val="Arial"/>
        <family val="2"/>
      </rPr>
      <t xml:space="preserve">não será aceito material de pedreira com instalações de britagem em área de preservação permanente ou de proteção ambiental; </t>
    </r>
  </si>
  <si>
    <r>
      <t>c)</t>
    </r>
    <r>
      <rPr>
        <sz val="12"/>
        <rFont val="Arial"/>
        <family val="2"/>
      </rPr>
      <t xml:space="preserve"> a entrega do material granular deve ser feita mediante apresentação de documento que comprove a sua procedência (ticket de balança, nota fiscal etc.), ou seja, que confirme que o material granular foi retirado de pedreira cuja documentação foi apresentada; e</t>
    </r>
  </si>
  <si>
    <r>
      <t xml:space="preserve">2) </t>
    </r>
    <r>
      <rPr>
        <b/>
        <u val="single"/>
        <sz val="12"/>
        <rFont val="Arial"/>
        <family val="2"/>
      </rPr>
      <t>QUANTIDADE A ADQUIRIR</t>
    </r>
    <r>
      <rPr>
        <b/>
        <sz val="12"/>
        <rFont val="Arial"/>
        <family val="2"/>
      </rPr>
      <t>:</t>
    </r>
  </si>
  <si>
    <r>
      <t xml:space="preserve">3) </t>
    </r>
    <r>
      <rPr>
        <b/>
        <u val="single"/>
        <sz val="12"/>
        <rFont val="Arial"/>
        <family val="2"/>
      </rPr>
      <t>LOCAL DE ENTREGA</t>
    </r>
    <r>
      <rPr>
        <b/>
        <sz val="12"/>
        <rFont val="Arial"/>
        <family val="2"/>
      </rPr>
      <t>:</t>
    </r>
  </si>
  <si>
    <t>MUNICÍPIO</t>
  </si>
  <si>
    <t>VOLUME (M³)</t>
  </si>
  <si>
    <t>LOCAIS DAS OBRAS</t>
  </si>
  <si>
    <t xml:space="preserve">Mobilização e Desmob. </t>
  </si>
  <si>
    <t>MUNICÍPIO:    TABATINGA</t>
  </si>
  <si>
    <t xml:space="preserve">                               ESTRADAS DIVERSAS</t>
  </si>
  <si>
    <t>TBG-132</t>
  </si>
  <si>
    <t>TBG-351</t>
  </si>
  <si>
    <t>TBG-010</t>
  </si>
  <si>
    <t>TBG-320</t>
  </si>
  <si>
    <t>TBG-377</t>
  </si>
  <si>
    <t>TBG 132 / A1</t>
  </si>
  <si>
    <t>TBG 351 / A2</t>
  </si>
  <si>
    <t>TBG 010 / B1</t>
  </si>
  <si>
    <t>TBG 351 / B2</t>
  </si>
  <si>
    <t>TBG 320 / C1</t>
  </si>
  <si>
    <t>TBG 377 / C2</t>
  </si>
  <si>
    <t>TBG 377 / D1</t>
  </si>
  <si>
    <t>TBG 377 / D2</t>
  </si>
  <si>
    <t xml:space="preserve">Municipio de Tabatinga- Estradas TBG 132 / 351 / 010 / 320  e 377. Bairros Córrego do Meio e Arizona.  </t>
  </si>
  <si>
    <r>
      <t xml:space="preserve">d) </t>
    </r>
    <r>
      <rPr>
        <sz val="12"/>
        <rFont val="Arial"/>
        <family val="2"/>
      </rPr>
      <t xml:space="preserve">caso os agregados britados sejam fornecidos por terceiros, deve-se exigir documentação que ateste a regularidade das instalações e operação junto ao órgão ambiental competente bem como outros documentos que a </t>
    </r>
    <r>
      <rPr>
        <b/>
        <u val="single"/>
        <sz val="12"/>
        <rFont val="Arial"/>
        <family val="2"/>
      </rPr>
      <t xml:space="preserve">PREFEITURA MUNICIPAL </t>
    </r>
    <r>
      <rPr>
        <sz val="12"/>
        <rFont val="Arial"/>
        <family val="2"/>
      </rPr>
      <t xml:space="preserve"> julgar oportuno.</t>
    </r>
  </si>
  <si>
    <t>ESTRADA: Diversas .</t>
  </si>
  <si>
    <t xml:space="preserve">A ASSOCIAÇÃO DOS PRODUTORES RURAIS DE TABATINGA - APROTABA, possui plano de negócio aprovado pelo PDRS - Microbacias II, que encontra se em fase de execução. A Prefeitura Municipal de TABATINGA, município sede da organização, manifestou interesse em firmar convênio com a Secretaria de Agricultura e Abastecimento do Estado de São Paulo - SAA, através do referido programa, com finalidade de requerer recursos financeiros para melhoria da malha viária municipal, visando dar condições de trafegabilidade às estradas em que trafegam os produtores que participam do plano de negócio e aos demais, facilitando o escoamento da produção. 
     A seleção das estradas e trechos objeto deste projeto foi realizada em conformidade com os critérios sugeridos pelo Projeto Microbacias II (anexo 12b). Os serviços de reabilitação dos trechos críticos irão contribuir com negócio proposto pela organização dos produtores rurais do município proporcionando segurança aos usuários, melhorando a trafegabilidade para escoamento da produção agropecuária e na melhoria da qualidade de vida da população facilitando o transporte de alunos, o acesso à saúde e lazer. Cabe ressaltar que o trecho escolhido é um dos pontos mais críticos das estradas municipais, visto que ao longo dos anos através de convênios e com maquinário próprio a Prefeitura adequou vários quilômetros de estradas rurais.
</t>
  </si>
  <si>
    <t>CÓRREGO DO MEIO     A1</t>
  </si>
  <si>
    <t>CÓRREGO DO MEIO     A2</t>
  </si>
  <si>
    <t>ARIZONA                      B2</t>
  </si>
  <si>
    <t>ARIZONA                      B1</t>
  </si>
  <si>
    <t>ARIZONA                      C1</t>
  </si>
  <si>
    <t>FORMA                        C2</t>
  </si>
  <si>
    <t>FORMA                        D1</t>
  </si>
  <si>
    <t>FORMA                        D2</t>
  </si>
  <si>
    <t>DER-SP (31/12/16)</t>
  </si>
  <si>
    <t>Insumo</t>
  </si>
  <si>
    <t>R$/m3 - Tab SINAP</t>
  </si>
  <si>
    <t>BDI</t>
  </si>
  <si>
    <t>Brita - bica corrida (na pedreira)</t>
  </si>
  <si>
    <t>Contrapartida PM</t>
  </si>
  <si>
    <t xml:space="preserve">Municipio de Tabatinga - Estradas TBG 132 / 351 / 010 / 320  e 377. Bairros Córrego do Meio / Arizona e Forma.   </t>
  </si>
  <si>
    <t>DER - SP - 31/12/16</t>
  </si>
  <si>
    <t>21.02.26.01.99</t>
  </si>
  <si>
    <t>28.08.01.01</t>
  </si>
  <si>
    <t>72.18.02.05</t>
  </si>
  <si>
    <t>contrapartida</t>
  </si>
  <si>
    <t>DER -SP (31/12/16)</t>
  </si>
  <si>
    <t>21.03.01</t>
  </si>
  <si>
    <t>Carga de material de limpeza (*0,1)</t>
  </si>
  <si>
    <t>R$</t>
  </si>
  <si>
    <t>Proteção vegetativa</t>
  </si>
  <si>
    <t>Total</t>
  </si>
  <si>
    <t>Unidade</t>
  </si>
  <si>
    <t>m</t>
  </si>
  <si>
    <t>m3</t>
  </si>
  <si>
    <t>m2</t>
  </si>
  <si>
    <t>R$/hora</t>
  </si>
  <si>
    <t>TOTAL</t>
  </si>
  <si>
    <t>Nº do Projeto:</t>
  </si>
  <si>
    <t>Nome da Estrada</t>
  </si>
  <si>
    <t>Sigla</t>
  </si>
  <si>
    <t>2.  JUSTIFICATIVA DO PROJETO E ESTRATÉGIA DE PRIORIZAÇÃO.</t>
  </si>
  <si>
    <t>3.     Mapa de Localização do(s) trecho(s) .</t>
  </si>
  <si>
    <t>Reabilitação de trechos críticos</t>
  </si>
  <si>
    <r>
      <t>1.</t>
    </r>
    <r>
      <rPr>
        <b/>
        <sz val="10"/>
        <rFont val="Times New Roman"/>
        <family val="1"/>
      </rPr>
      <t xml:space="preserve">          </t>
    </r>
    <r>
      <rPr>
        <b/>
        <sz val="10"/>
        <rFont val="Arial"/>
        <family val="2"/>
      </rPr>
      <t>IDENTIFICAÇÃO DO PROJETO</t>
    </r>
  </si>
  <si>
    <t>Revestimento da pista de rolamento</t>
  </si>
  <si>
    <t>Quantidade</t>
  </si>
  <si>
    <t>Melhoria da Plataforma</t>
  </si>
  <si>
    <t>Implantação do Sistema de drenagens</t>
  </si>
  <si>
    <t>Apoio do PDRS</t>
  </si>
  <si>
    <t>Material</t>
  </si>
  <si>
    <t>Extensão do trecho  serviço de reabilitação (km)</t>
  </si>
  <si>
    <t>EXTENSÃO TOTAL</t>
  </si>
  <si>
    <t>Descrição dos Serviços</t>
  </si>
  <si>
    <t xml:space="preserve">PREFEITURA MUNICIPAL </t>
  </si>
  <si>
    <t>UN.</t>
  </si>
  <si>
    <t>SUB-TRECHOS DE APLICAÇÃO / EXTENSÃO (m)</t>
  </si>
  <si>
    <t>A1</t>
  </si>
  <si>
    <t>A2</t>
  </si>
  <si>
    <t>B1</t>
  </si>
  <si>
    <t>B2</t>
  </si>
  <si>
    <t>C1</t>
  </si>
  <si>
    <t>C2</t>
  </si>
  <si>
    <t>D1</t>
  </si>
  <si>
    <t>D2</t>
  </si>
  <si>
    <t>GRUPO DE SERVIÇO</t>
  </si>
  <si>
    <t>Discriminação da Atividade</t>
  </si>
  <si>
    <t>MELHORIAS DA PLATAFORMA</t>
  </si>
  <si>
    <t>M2</t>
  </si>
  <si>
    <t>Escavação carga transporte &lt;25 m (abatimento de taludes)</t>
  </si>
  <si>
    <t>M3</t>
  </si>
  <si>
    <t>Conformação. Geométrica. da  plataforma sarjetas/leiras</t>
  </si>
  <si>
    <t>Drenagem Superficial</t>
  </si>
  <si>
    <t>M</t>
  </si>
  <si>
    <t>Lombadas</t>
  </si>
  <si>
    <t>Caixa de retenção 10 m diâmetro</t>
  </si>
  <si>
    <t>Caixa de retenção 20 m diâmetro</t>
  </si>
  <si>
    <t>Drenagem Corrente</t>
  </si>
  <si>
    <t>Boca de bueiro simples 40 cm alvenaria/blocos</t>
  </si>
  <si>
    <t>Boca de bueiro simples 80 cm alvenaria/blocos</t>
  </si>
  <si>
    <t>Caixa coletora/dissipadora em alvenaria p/ bueiro 60 cm</t>
  </si>
  <si>
    <t>Drenagem Profunda</t>
  </si>
  <si>
    <t>Execução de dreno profundo TIPO I</t>
  </si>
  <si>
    <t>Execução de dreno profundo TIPO II</t>
  </si>
  <si>
    <r>
      <t>m</t>
    </r>
    <r>
      <rPr>
        <vertAlign val="superscript"/>
        <sz val="8"/>
        <color indexed="8"/>
        <rFont val="Arial"/>
        <family val="2"/>
      </rPr>
      <t>2</t>
    </r>
  </si>
  <si>
    <t>Outros Serviços Correlatos às Atividades de Drenagem</t>
  </si>
  <si>
    <r>
      <t>m</t>
    </r>
    <r>
      <rPr>
        <vertAlign val="superscript"/>
        <sz val="8"/>
        <color indexed="8"/>
        <rFont val="Arial"/>
        <family val="2"/>
      </rPr>
      <t>3</t>
    </r>
  </si>
  <si>
    <t>PROTEÇÃO VEGETAL</t>
  </si>
  <si>
    <t>QTD TOTAL</t>
  </si>
  <si>
    <t>R$ - TOTAL</t>
  </si>
  <si>
    <t>TOTAL - DRENAGEM SUPERFICIAL</t>
  </si>
  <si>
    <t>TOTAL - MELHORIAS DA PLATAFORMA</t>
  </si>
  <si>
    <t>TOTAL - Drenagem Profunda</t>
  </si>
  <si>
    <t>TOTAL - PROTEÇÃO VEGETAL</t>
  </si>
  <si>
    <t>TOTAL - REVESTIMENTOS</t>
  </si>
  <si>
    <t>TOTAL - Outros Serviços Correlatos às Atividades de Drenagem</t>
  </si>
  <si>
    <t>TOTAL - DRENAGEM CORRENTE</t>
  </si>
  <si>
    <t>QUANTIDADES</t>
  </si>
  <si>
    <t>VALOR UNITÁRIO R$</t>
  </si>
  <si>
    <t>Limpeza do terreno com destoca de árvores &lt; 78 cm</t>
  </si>
  <si>
    <t>Destoca de árvore &gt; 78 cm</t>
  </si>
  <si>
    <t>um</t>
  </si>
  <si>
    <t xml:space="preserve">Limpeza do terreno s  destoca de árvores </t>
  </si>
  <si>
    <t xml:space="preserve">Raspagem de Terreno (recuo da camada vegetal) </t>
  </si>
  <si>
    <t>Espalhamento e regularização de mat "bota fora"</t>
  </si>
  <si>
    <t>Escavação e carga de material Categoria 1/2</t>
  </si>
  <si>
    <t>Tranp Material Cat 1/2 até 1km</t>
  </si>
  <si>
    <t>Tranp Material Cat 1/2 até 10km</t>
  </si>
  <si>
    <t>m3/km</t>
  </si>
  <si>
    <t>1. Memorial de cálculo de custo de serviços especiais que não constantam de tabelas oficiais de referêcia</t>
  </si>
  <si>
    <t>Equipamento</t>
  </si>
  <si>
    <t>R$/m3</t>
  </si>
  <si>
    <t>Trator S/Esteira lamina - 2,28 m3 - Cond D</t>
  </si>
  <si>
    <t>Trator S/Esteira lamina - 3,18 m3 - Cond D</t>
  </si>
  <si>
    <t>Valor médio</t>
  </si>
  <si>
    <t>Transporte material de limpeza  (até 1 Km)</t>
  </si>
  <si>
    <t>Conformação. Geométrica. da  plataforma sarjetas/leiras - 3 operações</t>
  </si>
  <si>
    <t>Moto niveladora c/escarificador - 16.200 kg. Cod D</t>
  </si>
  <si>
    <t>Operação</t>
  </si>
  <si>
    <t>Pé de carneiro 15,5   T Cond D</t>
  </si>
  <si>
    <t>R$/total</t>
  </si>
  <si>
    <t>Segmento de terraço/bigode. Secção 1 m3</t>
  </si>
  <si>
    <t>R$/m</t>
  </si>
  <si>
    <t>Bigodes/segmento de terraços(secção 1 m3)</t>
  </si>
  <si>
    <t>Lombada, mínimo (7 X10X1 m)</t>
  </si>
  <si>
    <t>R$/U</t>
  </si>
  <si>
    <r>
      <t xml:space="preserve">Rendimento: </t>
    </r>
    <r>
      <rPr>
        <b/>
        <sz val="9"/>
        <rFont val="Arial"/>
        <family val="2"/>
      </rPr>
      <t>m2</t>
    </r>
    <r>
      <rPr>
        <b/>
        <sz val="10"/>
        <rFont val="Arial"/>
        <family val="2"/>
      </rPr>
      <t>/Hora</t>
    </r>
  </si>
  <si>
    <t>Rendimento: m2/Hora</t>
  </si>
  <si>
    <t>Rendimento: m3/Hora</t>
  </si>
  <si>
    <t>Rendimento: M/Hora</t>
  </si>
  <si>
    <t>Rendimento: U/Hora</t>
  </si>
  <si>
    <t>Boca de bueiro simples 60 cm alvenaria/blocos</t>
  </si>
  <si>
    <t>Boca de bueiro simples 1 M alvenaria/blocos</t>
  </si>
  <si>
    <t>Revestimento Alternativo - concreto usina "in loco"</t>
  </si>
  <si>
    <t>00007267 BLOCO CERAMICO VEDAÇÃO 6 FUROS - 9 X 14 X 19 CM UN 0,60</t>
  </si>
  <si>
    <t>00004743 CASCALHO DE CAVA M3 69,14</t>
  </si>
  <si>
    <t>00004744 CASCALHO DE RIO M3 56,57</t>
  </si>
  <si>
    <t>00004745 CASCALHO LAVADO M3 84,86</t>
  </si>
  <si>
    <t>00004746 CASCALHO, PEDREGULHO OU PICARRA (MATERIAL DE JAZIDA PARA BASE DE PAVIMENTACAO, REVESTIMENTO M3 33,00</t>
  </si>
  <si>
    <t>PRIMARIO, BASES ASFALTICAS ETC - SEM TRANSPORTE)</t>
  </si>
  <si>
    <t>SERVIÇOS</t>
  </si>
  <si>
    <t>Código</t>
  </si>
  <si>
    <t>Descrição</t>
  </si>
  <si>
    <t>Mão de Obra</t>
  </si>
  <si>
    <t>CMR</t>
  </si>
  <si>
    <t>IMG</t>
  </si>
  <si>
    <t>Lançamento, espalhamento e adensamento de concreto ou massa em lastro e/ou enchimento</t>
  </si>
  <si>
    <t>m³</t>
  </si>
  <si>
    <t>Lançamento e adensamento de concreto ou massa em fundação</t>
  </si>
  <si>
    <t>Lançamento e adensamento de concreto ou massa em estrutura</t>
  </si>
  <si>
    <t>Lançamento e adensamento de concreto ou massa por bombeamento</t>
  </si>
  <si>
    <t>Nivelamento de piso em concreto com acabadora de superfície</t>
  </si>
  <si>
    <t>m²</t>
  </si>
  <si>
    <t>Concreto usinado, fck = 20,0 MPa</t>
  </si>
  <si>
    <t>Concreto usinado, fck = 25,0 MPa</t>
  </si>
  <si>
    <t>Concreto usinado, fck = 30,0 MPa</t>
  </si>
  <si>
    <t>Concreto usinado, fck = 35,0 MPa</t>
  </si>
  <si>
    <t>Concreto usinado, fck = 40,0 MPa</t>
  </si>
  <si>
    <t>Forma em madeira comum para fundação</t>
  </si>
  <si>
    <t>Forma em madeira comum para estrutura</t>
  </si>
  <si>
    <t>Forma em madeira comum para caixao perdido</t>
  </si>
  <si>
    <t>Alvenaria de bloco cerâmico de vedação, uso revestido, de 9 cm</t>
  </si>
  <si>
    <t>Alvenaria de bloco cerâmico de vedação, uso revestido, de 14 cm</t>
  </si>
  <si>
    <t>Alvenaria de bloco cerâmico de vedação, uso revestido, de 19 cm</t>
  </si>
  <si>
    <t>Alvenaria de bloco de concreto de vedação, uso revestido, de 9 cm</t>
  </si>
  <si>
    <t>Alvenaria de bloco de concreto de vedação, uso revestido, de 14 cm</t>
  </si>
  <si>
    <t>Alvenaria de bloco de concreto de vedação, uso revestido, de 19 cm</t>
  </si>
  <si>
    <t>Alvenaria de bloco de concreto de vedação, uso aparente, de 9 cm</t>
  </si>
  <si>
    <t>Alvenaria de bloco de concreto de vedação, uso aparente, de 14 cm</t>
  </si>
  <si>
    <t>Alvenaria de bloco de concreto de vedação, uso aparente, de 19 cm</t>
  </si>
  <si>
    <t>00004729 PEDRA BRITADA GRADUADA, CLASSIFICADA (POSTO PEDREIRA/FORNECEDOR, SEM FRETE) M3 CR 64,23</t>
  </si>
  <si>
    <t>00004720 PEDRA BRITADA N. 0, OU PEDRISCO (4,8 A 9,5 MM) POSTO PEDREIRA/FORNECEDOR, SEM M3 70,23</t>
  </si>
  <si>
    <t>00004721 PEDRA BRITADA N. 1 (9,5 a 19 MM) POSTO PEDREIRA/FORNECEDOR, SEM FRETE M3 CR 55,01</t>
  </si>
  <si>
    <t>00004718 PEDRA BRITADA N. 2 (19 A 38 MM) POSTO PEDREIRA/FORNECEDOR, SEM FRETE M3 C 55,00</t>
  </si>
  <si>
    <t xml:space="preserve">00004748 PEDRA BRITADA OU BICA CORRIDA, NAO CLASSIFICADA (POSTO PEDREIRA/FORNECEDOR, M3 59,51 SEM FRETE) </t>
  </si>
  <si>
    <t>R$/u</t>
  </si>
  <si>
    <t>Mão de obra</t>
  </si>
  <si>
    <t>sarrafo de madeira 10 x 2,5 cm</t>
  </si>
  <si>
    <t>Referência</t>
  </si>
  <si>
    <t>CPOs - fev 15</t>
  </si>
  <si>
    <t>Tabela CPOs - Fev 15</t>
  </si>
  <si>
    <t>ódigo</t>
  </si>
  <si>
    <t>Sinapi - fev 15</t>
  </si>
  <si>
    <t>SEIXO ROLADO PARA APLICACAO EM CONCRETO (POSTO PEDREIRA/FORNECEDOR, SEM M3 70,37 FRETE) CR</t>
  </si>
  <si>
    <t>SINAPI</t>
  </si>
  <si>
    <t>00006193 TABUA MADEIRA 2A QUALIDADE 2,5 X 20,0CM (1 X 8") NAO APARELHADA M CR 4,71</t>
  </si>
  <si>
    <t>Sarrafo 10 cm</t>
  </si>
  <si>
    <t>TELA DE ACO SOLDADA NERVURADA CA-60, Q-61, (0,97 KG/M2), DIAMETRO DO FIO = 3,4 MM, M2 5,99 LARGURA = 2,45 X 120 M DE COMPRIMENTO, ESPACAMENTO DA MALHA = 15 X 15 CM CR</t>
  </si>
  <si>
    <t>Malha pop CA 60 4 mm</t>
  </si>
  <si>
    <t>Revestimento Alternativo - concreto FCK 25 (usinado "in loco") espessura de 10 cm. Base de cácculo: trilho duplo 100 m com faixa de 80 cm/cada=160 m2</t>
  </si>
  <si>
    <t>R$/m2</t>
  </si>
  <si>
    <t>TOTAL  - DRENAGENS</t>
  </si>
  <si>
    <t>Recuperação de bota fora</t>
  </si>
  <si>
    <t>Construção de terraço</t>
  </si>
  <si>
    <t>TOTAL - Recuperação de área de empréstimo e "bota fora"</t>
  </si>
  <si>
    <t>Extensão total dos "trechos"</t>
  </si>
  <si>
    <t>Grupos de Serviços</t>
  </si>
  <si>
    <t xml:space="preserve">6. ORÇAMENTO </t>
  </si>
  <si>
    <t>6.1 Orçamento consolidado dos serviços de reabilitação de "trechos críticos"</t>
  </si>
  <si>
    <t xml:space="preserve">7. Orçamento total  e percentual do de apoio do PDRS </t>
  </si>
  <si>
    <t>ORCAMENTO TOTAL - R$</t>
  </si>
  <si>
    <t>Concreto - FCK - 25</t>
  </si>
  <si>
    <t>Grama em Placas s/adubo</t>
  </si>
  <si>
    <t>Retorno da camada vegetal</t>
  </si>
  <si>
    <t>Canaleta em concreto - 60 cm</t>
  </si>
  <si>
    <t>Canaleta em concreto -80 cm</t>
  </si>
  <si>
    <t>Sarjetas tipo D em concreto - 5cm</t>
  </si>
  <si>
    <t>CPOS Fev 15</t>
  </si>
  <si>
    <t>concreto - FCK20</t>
  </si>
  <si>
    <t>Canaleta de concreto -  concreto FCK 20 (usinado "in loco") com 5 cm de espessura - base 100 m2</t>
  </si>
  <si>
    <t>Passagem molhada - concreto usinado "in loco" - 10cm, FCK 25</t>
  </si>
  <si>
    <t>Lastro de concreto usinado "in loco", 10 cm FCK 20</t>
  </si>
  <si>
    <t>CPOs Fev 15</t>
  </si>
  <si>
    <t xml:space="preserve">Boca de bueiro bloco -80 cm - material e mão de obra 2,4x1,2m). AbasLaterais (0,8x1,2m) </t>
  </si>
  <si>
    <t xml:space="preserve">Boca de bueiro bloco - 60 cm - material e mão de obra (2,0x1,0m). Abas Laterais (0,6x1,0m) </t>
  </si>
  <si>
    <t xml:space="preserve">Boca de bueiro bloco - 40 cm - material e mão de obra (1,6x0,8m). Abas Laterais (0,6x0,8m) </t>
  </si>
  <si>
    <t>unidade</t>
  </si>
  <si>
    <t>R$/unidade</t>
  </si>
  <si>
    <t>Material/serviço</t>
  </si>
  <si>
    <t>Sinapi</t>
  </si>
  <si>
    <t>hora</t>
  </si>
  <si>
    <t>Caminhão irrigador 6000 l Com D, rendimento 2000 m2/h</t>
  </si>
  <si>
    <t>R$/100 m2</t>
  </si>
  <si>
    <t>brita - bica corrida</t>
  </si>
  <si>
    <t>Revestimento solo brita 50% (material, transporte, distribuição, incorporação e compactação) - Base de cálculo 100 m2 com 10 cm de espessura.</t>
  </si>
  <si>
    <t>Revestimento Primário - Cascalho natural (incluindo-se custos do material, escavação na jazida/cascalheira, carga, transporte -  20 km, espalhamento, compactação com o pneu do caminhão irrigador)</t>
  </si>
  <si>
    <t xml:space="preserve">Revestimento primário - Solo brita 50% (material, transporte, distribuição, incorporação e compactação) </t>
  </si>
  <si>
    <t>Incorporação: Trator agrícola com grade - passadas</t>
  </si>
  <si>
    <t>Conformação da plataforma - motoniveladora. Rend - 1400m2/h</t>
  </si>
  <si>
    <t>Tabelas de referências</t>
  </si>
  <si>
    <t>Item</t>
  </si>
  <si>
    <t>22.01.02.99</t>
  </si>
  <si>
    <t>22.01.01.99</t>
  </si>
  <si>
    <t>22.01.05.99</t>
  </si>
  <si>
    <t>22.02.01.99</t>
  </si>
  <si>
    <t>22.02.06.99</t>
  </si>
  <si>
    <t>22.02.09.99</t>
  </si>
  <si>
    <t>22.03.01.99</t>
  </si>
  <si>
    <t>22.03.02.99</t>
  </si>
  <si>
    <t>22.03.03.99</t>
  </si>
  <si>
    <t>22.03.04.99</t>
  </si>
  <si>
    <t>22.03.05.99</t>
  </si>
  <si>
    <t>22.03.06.99</t>
  </si>
  <si>
    <t>22.03.11.99</t>
  </si>
  <si>
    <t>22.03.12.99</t>
  </si>
  <si>
    <t>Composição</t>
  </si>
  <si>
    <t>Memorial C</t>
  </si>
  <si>
    <t>24.18.02.99</t>
  </si>
  <si>
    <t>24.18.03.99</t>
  </si>
  <si>
    <t>24.18.01.99</t>
  </si>
  <si>
    <t>Passagem molhada (Sub base rachão)</t>
  </si>
  <si>
    <t>23.04.03.04.99</t>
  </si>
  <si>
    <t>Equipamento/material</t>
  </si>
  <si>
    <t>Passagem molhada (rachão) (7X5X0,1 M) conjugada com lombada (7X10X1 m)</t>
  </si>
  <si>
    <t>R$/hora e m3</t>
  </si>
  <si>
    <t>R$/Unidade</t>
  </si>
  <si>
    <t>Passagem molhada - rachão (7 x 3 x 0,1 m) (conjugada a lombada  - (7 x 10 x 1 m)</t>
  </si>
  <si>
    <t>Valas de escoamento/proteção - seção transv &gt;0,5 m2</t>
  </si>
  <si>
    <t>24.16.01.99</t>
  </si>
  <si>
    <t>24.16.02.99</t>
  </si>
  <si>
    <t>24.16.07.99</t>
  </si>
  <si>
    <t>24.16.08.99</t>
  </si>
  <si>
    <t>24.16.12.99</t>
  </si>
  <si>
    <t>24.16.15.99</t>
  </si>
  <si>
    <t>24.16.16.99</t>
  </si>
  <si>
    <t xml:space="preserve">Tubo de concreto D 0,4 M PA 1 + assentamento </t>
  </si>
  <si>
    <t>Tubo de concreto D 0,4 M PA 2 + assentamento</t>
  </si>
  <si>
    <t xml:space="preserve">Tubo de concreto D 0,6M PA 1 + assentamento </t>
  </si>
  <si>
    <t>Tubo de concreto D 0,6M PA2 + assentamento</t>
  </si>
  <si>
    <t xml:space="preserve">Tubo de concreto D 0,8 M PA 1 + assentamento </t>
  </si>
  <si>
    <t xml:space="preserve">Tubo de concreto D 0,8 M PA 2 + assentamento </t>
  </si>
  <si>
    <t xml:space="preserve">Tubo de concreto D 1,0 M PA 1 + assentamento </t>
  </si>
  <si>
    <t>Tubo de concreto D 1,0 M PA 2 + assentamento</t>
  </si>
  <si>
    <t xml:space="preserve">Boca de bueiro bloco -80 cm - material e mão de obra 3,0x1,5m). AbasLaterais (0,8 x1,5m) </t>
  </si>
  <si>
    <t>100 m2 = 10 m3</t>
  </si>
  <si>
    <t>(100 m2 = 10 m3)</t>
  </si>
  <si>
    <t>Distância da jazida Km (ida e volta)</t>
  </si>
  <si>
    <t>30.01.01</t>
  </si>
  <si>
    <t>Sub item</t>
  </si>
  <si>
    <t>72.50.02.99.04</t>
  </si>
  <si>
    <t>72.50.03.99.04</t>
  </si>
  <si>
    <t>Pá carregadeira - 1,7 - 1,93  m3, Cond D</t>
  </si>
  <si>
    <t>72.41.01.99.04</t>
  </si>
  <si>
    <t>72.45.06.99.04</t>
  </si>
  <si>
    <t>Caminhão irrigador 6000 l, cond D</t>
  </si>
  <si>
    <t>72.08.01.99.04</t>
  </si>
  <si>
    <t>72.37.02.99.04</t>
  </si>
  <si>
    <t>72.09.02.99.05</t>
  </si>
  <si>
    <t>Transporte - Locação caminhão basculante 8m3 Cond D</t>
  </si>
  <si>
    <t xml:space="preserve"> Distribuição: Moto niveladora c/escarificador - 16.200 kg. Cod D - rend - 1400m2/h</t>
  </si>
  <si>
    <t xml:space="preserve">Quantidade: </t>
  </si>
  <si>
    <t>72.49.02.99.04</t>
  </si>
  <si>
    <t>nº de viagem</t>
  </si>
  <si>
    <t>Sub Item/Código</t>
  </si>
  <si>
    <t>Placas</t>
  </si>
  <si>
    <t>TOTAL PLACAS</t>
  </si>
  <si>
    <t>Semeadura de grama</t>
  </si>
  <si>
    <t>Remoção e recolocação de cercas arame incluso transporte (reaproveitamento do dos materiais)</t>
  </si>
  <si>
    <t>DER -SP (30/03/15)</t>
  </si>
  <si>
    <t>Canaleta em concreto - 40 cm</t>
  </si>
  <si>
    <t>24.13.04.99</t>
  </si>
  <si>
    <t>24.16.11.99</t>
  </si>
  <si>
    <t>Escavadeira Hidraulica S/Est - 2,2 m3 - Cond D</t>
  </si>
  <si>
    <t>72.27.04.99.04</t>
  </si>
  <si>
    <t>Transporte - Locação caminhão basculante 8m3 Cond D - R$/km</t>
  </si>
  <si>
    <t>R$/160 m2</t>
  </si>
  <si>
    <t>Proteção vegetal por semeadura</t>
  </si>
  <si>
    <t>Roçada</t>
  </si>
  <si>
    <t xml:space="preserve">Composição </t>
  </si>
  <si>
    <t>Escavação e carga de material</t>
  </si>
  <si>
    <t>Raspagem do terreno - recuo da camada vegetal (mínimo 10 cm)</t>
  </si>
  <si>
    <t>Pá Carregadeira - !,7 - 1,93 m3 - cod. D</t>
  </si>
  <si>
    <t>Compactação de aterros  (camada de 30 cm)</t>
  </si>
  <si>
    <t>Compactação de aterros - camada de 30 cm (04 passadas)</t>
  </si>
  <si>
    <t>Trator agric pesado c/peso de Cond D</t>
  </si>
  <si>
    <t xml:space="preserve">Compactação do Sub leito </t>
  </si>
  <si>
    <t>Compactação do sub leito: camada de 30 cm (gradeação, umedeciemnto e compactação- 5 passadas</t>
  </si>
  <si>
    <t>rendiemnto 5000 m2/hora/5 passadas</t>
  </si>
  <si>
    <t>rendiemnto 6000 m2/hora/5 passadas</t>
  </si>
  <si>
    <t>Caixa de retenção 15m diâmetro</t>
  </si>
  <si>
    <t>Tranp Material Cat 1/2 até 2km (Inf km na coluna seguinte)</t>
  </si>
  <si>
    <t>Tranp Material Cat 1/2 até 5km  (Inf km na coluna seguinte)</t>
  </si>
  <si>
    <t>Tranp Material Cat 1/2 até 15km  (Inf km na coluna seguinte)</t>
  </si>
  <si>
    <t>Tranp Material Cat 1/2 além de 15km  (Inf km na coluna seguinte)</t>
  </si>
  <si>
    <t>Transporte material de limpeza  (&gt; 1 Km) .  (Inf km na coluna seguinte)</t>
  </si>
  <si>
    <t xml:space="preserve">ANEXO 13 b - Projeto Técnico de Estradas Rurais: Reabilitação de “trechos críticos” </t>
  </si>
  <si>
    <t>PROJETO BÁSICO - Execução Indireta</t>
  </si>
  <si>
    <t>Qtda</t>
  </si>
  <si>
    <t>Extensão - KM</t>
  </si>
  <si>
    <t>Estrada/Trecho</t>
  </si>
  <si>
    <t>Custo total por trecho</t>
  </si>
  <si>
    <t xml:space="preserve">Outros Serviços </t>
  </si>
  <si>
    <t>Desmobilização de máquinas e equipe</t>
  </si>
  <si>
    <t>Mobilização  de máquinas e equipe</t>
  </si>
  <si>
    <t>TOTAL - OUTROS SERVIÇOS</t>
  </si>
  <si>
    <t>S</t>
  </si>
  <si>
    <t>DER - SP - 30/09/16</t>
  </si>
  <si>
    <t>rendimento 5000 m2/hora/4 passadas</t>
  </si>
  <si>
    <t>rendimento 6000 m2/hora/4 passadas</t>
  </si>
  <si>
    <t>Caixa de retenção circular D - 10 m</t>
  </si>
  <si>
    <t>Caixa de retenção circular D - 15 m</t>
  </si>
  <si>
    <t>Caixa de retenção circular D -20 m</t>
  </si>
  <si>
    <t xml:space="preserve">Revestimento Primário - Alteamento (incluindo-se custos do material,máquinas, carga, transporte - distribuição e compactação) - base 100 m2 com espessura de 60 cm -  OBS: base de cálculo: 100 m2                   </t>
  </si>
  <si>
    <t>Brita</t>
  </si>
  <si>
    <t>Escavação e carga solo</t>
  </si>
  <si>
    <t>DER -SP (30/09/16)</t>
  </si>
  <si>
    <t>Revestimento Alternativo - concreto FCK 25 (usinado ) espessura de 10 cm. Base de cácculo: Placa de 4,0 de largura por 25 de comprimento = 100m²</t>
  </si>
  <si>
    <t>sarrafo de madeira 20 x 2,5 cm</t>
  </si>
  <si>
    <t>DER SP-09/15</t>
  </si>
  <si>
    <t>24.0,7.05.99</t>
  </si>
  <si>
    <t>CPOs-nov 2015</t>
  </si>
  <si>
    <r>
      <rPr>
        <sz val="8"/>
        <rFont val="Arial"/>
        <family val="2"/>
      </rPr>
      <t>base para concreto -</t>
    </r>
    <r>
      <rPr>
        <sz val="8"/>
        <color indexed="8"/>
        <rFont val="Arial"/>
        <family val="2"/>
      </rPr>
      <t xml:space="preserve">  (incluindo-se custos de transporte - 20 km, distribuição  - base 100 m2 com espessura de 10 cm -  OBS: base de cálculo: 100 m2                   </t>
    </r>
  </si>
  <si>
    <t>pedra brita 04</t>
  </si>
  <si>
    <t>Sinapi 2015/nov</t>
  </si>
  <si>
    <t>escavação e carga</t>
  </si>
  <si>
    <t>DER - SP</t>
  </si>
  <si>
    <t>Transporte - 20 km</t>
  </si>
  <si>
    <t>22.03.04-99</t>
  </si>
  <si>
    <t xml:space="preserve"> Distribuição: motoniveladora com D - rend - 1400m2/h</t>
  </si>
  <si>
    <t>72-37-02-99-03</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</si>
</sst>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s>
  <fonts count="64">
    <font>
      <sz val="10"/>
      <name val="Arial"/>
      <family val="0"/>
    </font>
    <font>
      <sz val="11"/>
      <color indexed="8"/>
      <name val="Calibri"/>
      <family val="2"/>
    </font>
    <font>
      <b/>
      <sz val="12"/>
      <name val="Arial"/>
      <family val="2"/>
    </font>
    <font>
      <b/>
      <sz val="10"/>
      <name val="Arial"/>
      <family val="2"/>
    </font>
    <font>
      <sz val="8"/>
      <name val="Arial"/>
      <family val="2"/>
    </font>
    <font>
      <sz val="12"/>
      <name val="Arial"/>
      <family val="2"/>
    </font>
    <font>
      <b/>
      <sz val="12"/>
      <name val="Times New Roman"/>
      <family val="1"/>
    </font>
    <font>
      <b/>
      <sz val="10"/>
      <name val="Times New Roman"/>
      <family val="1"/>
    </font>
    <font>
      <b/>
      <sz val="9"/>
      <name val="Arial"/>
      <family val="2"/>
    </font>
    <font>
      <sz val="9"/>
      <name val="Arial"/>
      <family val="2"/>
    </font>
    <font>
      <vertAlign val="superscript"/>
      <sz val="8"/>
      <color indexed="8"/>
      <name val="Arial"/>
      <family val="2"/>
    </font>
    <font>
      <b/>
      <sz val="8"/>
      <name val="Arial"/>
      <family val="2"/>
    </font>
    <font>
      <sz val="8"/>
      <color indexed="8"/>
      <name val="Arial"/>
      <family val="2"/>
    </font>
    <font>
      <b/>
      <sz val="8"/>
      <color indexed="8"/>
      <name val="Arial"/>
      <family val="2"/>
    </font>
    <font>
      <sz val="10"/>
      <color indexed="9"/>
      <name val="Arial"/>
      <family val="2"/>
    </font>
    <font>
      <sz val="10"/>
      <color indexed="8"/>
      <name val="Arial"/>
      <family val="2"/>
    </font>
    <font>
      <sz val="9"/>
      <color indexed="8"/>
      <name val="Arial"/>
      <family val="2"/>
    </font>
    <font>
      <b/>
      <sz val="4"/>
      <color indexed="8"/>
      <name val="Arial"/>
      <family val="2"/>
    </font>
    <font>
      <b/>
      <sz val="12"/>
      <color indexed="63"/>
      <name val="Arial"/>
      <family val="2"/>
    </font>
    <font>
      <sz val="12"/>
      <color indexed="10"/>
      <name val="Arial"/>
      <family val="2"/>
    </font>
    <font>
      <sz val="8"/>
      <color indexed="10"/>
      <name val="Arial"/>
      <family val="2"/>
    </font>
    <font>
      <b/>
      <sz val="14"/>
      <name val="Arial"/>
      <family val="2"/>
    </font>
    <font>
      <b/>
      <u val="single"/>
      <sz val="14"/>
      <name val="Arial"/>
      <family val="2"/>
    </font>
    <font>
      <b/>
      <u val="single"/>
      <sz val="12"/>
      <name val="Arial"/>
      <family val="2"/>
    </font>
    <font>
      <b/>
      <sz val="16"/>
      <name val="Arial"/>
      <family val="2"/>
    </font>
    <font>
      <b/>
      <sz val="22"/>
      <name val="Arial"/>
      <family val="2"/>
    </font>
    <font>
      <b/>
      <sz val="28"/>
      <name val="Arial"/>
      <family val="2"/>
    </font>
    <font>
      <b/>
      <sz val="8"/>
      <color indexed="10"/>
      <name val="Arial"/>
      <family val="2"/>
    </font>
    <font>
      <b/>
      <sz val="10"/>
      <color indexed="10"/>
      <name val="Arial"/>
      <family val="2"/>
    </font>
    <font>
      <u val="single"/>
      <sz val="10"/>
      <color indexed="12"/>
      <name val="Arial"/>
      <family val="0"/>
    </font>
    <font>
      <u val="single"/>
      <sz val="10"/>
      <color indexed="36"/>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10"/>
        <bgColor indexed="64"/>
      </patternFill>
    </fill>
    <fill>
      <patternFill patternType="solid">
        <fgColor indexed="27"/>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theme="0" tint="-0.1499900072813034"/>
        <bgColor indexed="64"/>
      </patternFill>
    </fill>
    <fill>
      <patternFill patternType="solid">
        <fgColor theme="0" tint="-0.24997000396251678"/>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thin"/>
      <right style="thin"/>
      <top style="thin"/>
      <bottom style="thin"/>
    </border>
    <border>
      <left style="thin"/>
      <right style="thin"/>
      <top style="thin"/>
      <bottom style="medium"/>
    </border>
    <border>
      <left style="medium"/>
      <right style="thin"/>
      <top style="thin"/>
      <bottom style="thin"/>
    </border>
    <border>
      <left style="thin"/>
      <right/>
      <top/>
      <bottom style="thin"/>
    </border>
    <border>
      <left/>
      <right/>
      <top/>
      <bottom style="thin"/>
    </border>
    <border>
      <left style="thin"/>
      <right/>
      <top/>
      <bottom/>
    </border>
    <border>
      <left style="thin"/>
      <right style="thin"/>
      <top style="double"/>
      <bottom style="thin"/>
    </border>
    <border>
      <left style="thin"/>
      <right style="thin"/>
      <top style="thin"/>
      <bottom style="double"/>
    </border>
    <border>
      <left style="medium"/>
      <right style="thin"/>
      <top style="medium"/>
      <bottom style="thin"/>
    </border>
    <border>
      <left style="thin"/>
      <right style="double"/>
      <top style="double"/>
      <bottom style="thin"/>
    </border>
    <border>
      <left style="thin"/>
      <right style="double"/>
      <top style="thin"/>
      <bottom style="thin"/>
    </border>
    <border>
      <left style="thin"/>
      <right style="double"/>
      <top style="thin"/>
      <bottom style="double"/>
    </border>
    <border>
      <left style="thin"/>
      <right style="double"/>
      <top/>
      <bottom style="thin"/>
    </border>
    <border>
      <left style="double"/>
      <right style="thin"/>
      <top style="thin"/>
      <bottom style="double"/>
    </border>
    <border>
      <left style="thin"/>
      <right/>
      <top style="thin"/>
      <bottom style="double"/>
    </border>
    <border>
      <left style="thin"/>
      <right style="medium"/>
      <top style="thin"/>
      <bottom/>
    </border>
    <border>
      <left style="thin"/>
      <right style="thin"/>
      <top style="thin"/>
      <bottom/>
    </border>
    <border>
      <left/>
      <right style="thin"/>
      <top style="medium"/>
      <bottom style="thin"/>
    </border>
    <border>
      <left style="thin"/>
      <right style="double"/>
      <top style="thin"/>
      <bottom/>
    </border>
    <border>
      <left style="thin"/>
      <right style="thin"/>
      <top/>
      <bottom/>
    </border>
    <border>
      <left/>
      <right/>
      <top style="thin"/>
      <bottom style="double"/>
    </border>
    <border>
      <left style="thin"/>
      <right style="double"/>
      <top/>
      <bottom/>
    </border>
    <border>
      <left style="double"/>
      <right style="thin"/>
      <top style="double"/>
      <bottom style="thin"/>
    </border>
    <border>
      <left style="double"/>
      <right style="thin"/>
      <top style="thin"/>
      <bottom style="thin"/>
    </border>
    <border>
      <left style="thin"/>
      <right/>
      <top style="double"/>
      <bottom style="thin"/>
    </border>
    <border>
      <left/>
      <right style="thin"/>
      <top style="double"/>
      <bottom style="thin"/>
    </border>
    <border>
      <left style="thin"/>
      <right/>
      <top style="thin"/>
      <bottom style="thin"/>
    </border>
    <border>
      <left/>
      <right style="thin"/>
      <top style="thin"/>
      <bottom style="thin"/>
    </border>
    <border>
      <left/>
      <right style="thin"/>
      <top style="thin"/>
      <bottom style="double"/>
    </border>
    <border>
      <left style="double"/>
      <right style="thin"/>
      <top style="thin"/>
      <bottom/>
    </border>
    <border>
      <left/>
      <right style="medium"/>
      <top/>
      <bottom/>
    </border>
    <border>
      <left/>
      <right style="thin"/>
      <top/>
      <bottom/>
    </border>
    <border>
      <left/>
      <right/>
      <top/>
      <bottom style="double"/>
    </border>
    <border>
      <left/>
      <right style="medium"/>
      <top/>
      <bottom style="double"/>
    </border>
    <border>
      <left style="thin"/>
      <right style="thin"/>
      <top style="double"/>
      <bottom style="double"/>
    </border>
    <border>
      <left style="thin"/>
      <right style="thin"/>
      <top/>
      <bottom style="double"/>
    </border>
    <border>
      <left/>
      <right/>
      <top style="double"/>
      <bottom/>
    </border>
    <border>
      <left/>
      <right style="double"/>
      <top style="double"/>
      <bottom/>
    </border>
    <border>
      <left/>
      <right style="thin"/>
      <top style="double"/>
      <bottom style="double"/>
    </border>
    <border>
      <left style="thin"/>
      <right style="thin"/>
      <top style="double"/>
      <bottom/>
    </border>
    <border>
      <left style="thin"/>
      <right/>
      <top style="double"/>
      <bottom/>
    </border>
    <border>
      <left style="medium"/>
      <right style="medium"/>
      <top style="medium"/>
      <bottom style="medium"/>
    </border>
    <border>
      <left/>
      <right style="medium"/>
      <top style="medium"/>
      <bottom style="medium"/>
    </border>
    <border>
      <left style="medium"/>
      <right style="medium"/>
      <top/>
      <bottom/>
    </border>
    <border>
      <left/>
      <right style="double"/>
      <top/>
      <bottom style="double"/>
    </border>
    <border>
      <left style="thin"/>
      <right style="double"/>
      <top/>
      <bottom style="double"/>
    </border>
    <border>
      <left/>
      <right style="double"/>
      <top/>
      <bottom/>
    </border>
    <border>
      <left style="thin"/>
      <right style="double"/>
      <top style="double"/>
      <bottom style="double"/>
    </border>
    <border>
      <left/>
      <right style="medium"/>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right/>
      <top style="medium"/>
      <bottom style="medium"/>
    </border>
    <border>
      <left style="thin"/>
      <right style="medium"/>
      <top style="medium"/>
      <bottom style="medium"/>
    </border>
    <border>
      <left style="medium"/>
      <right/>
      <top style="medium"/>
      <bottom style="mediu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style="medium"/>
      <right style="thin"/>
      <top style="thin"/>
      <bottom style="medium"/>
    </border>
    <border>
      <left style="medium"/>
      <right/>
      <top style="thin"/>
      <bottom style="medium"/>
    </border>
    <border>
      <left/>
      <right/>
      <top style="thin"/>
      <bottom style="medium"/>
    </border>
    <border>
      <left/>
      <right style="thin"/>
      <top style="thin"/>
      <bottom/>
    </border>
    <border>
      <left/>
      <right style="thin"/>
      <top/>
      <bottom style="thin"/>
    </border>
    <border>
      <left/>
      <right/>
      <top style="double"/>
      <bottom style="double"/>
    </border>
    <border>
      <left style="double"/>
      <right/>
      <top style="double"/>
      <bottom style="double"/>
    </border>
    <border>
      <left style="double"/>
      <right style="thin"/>
      <top/>
      <bottom style="thin"/>
    </border>
    <border>
      <left/>
      <right/>
      <top style="double"/>
      <bottom style="thin"/>
    </border>
    <border>
      <left/>
      <right/>
      <top style="thin"/>
      <bottom style="thin"/>
    </border>
    <border>
      <left style="double"/>
      <right style="thin"/>
      <top/>
      <bottom/>
    </border>
    <border>
      <left style="double"/>
      <right/>
      <top style="double"/>
      <bottom/>
    </border>
    <border>
      <left style="double"/>
      <right/>
      <top style="thin"/>
      <bottom style="double"/>
    </border>
    <border>
      <left/>
      <right style="double"/>
      <top style="thin"/>
      <bottom style="thin"/>
    </border>
    <border>
      <left style="thin"/>
      <right/>
      <top style="double"/>
      <bottom style="double"/>
    </border>
    <border>
      <left style="medium"/>
      <right style="medium"/>
      <top style="medium"/>
      <bottom/>
    </border>
    <border>
      <left style="medium"/>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21" borderId="2" applyNumberFormat="0" applyAlignment="0" applyProtection="0"/>
    <xf numFmtId="0" fontId="52" fillId="0" borderId="3" applyNumberFormat="0" applyFill="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3" fillId="28"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54"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0" borderId="0" applyNumberFormat="0" applyBorder="0" applyAlignment="0" applyProtection="0"/>
    <xf numFmtId="0" fontId="0" fillId="0" borderId="0">
      <alignment/>
      <protection/>
    </xf>
    <xf numFmtId="0" fontId="47" fillId="0" borderId="0">
      <alignment/>
      <protection/>
    </xf>
    <xf numFmtId="0" fontId="0" fillId="31" borderId="4" applyNumberFormat="0" applyFont="0" applyAlignment="0" applyProtection="0"/>
    <xf numFmtId="9" fontId="0" fillId="0" borderId="0" applyFont="0" applyFill="0" applyBorder="0" applyAlignment="0" applyProtection="0"/>
    <xf numFmtId="0" fontId="56" fillId="20" borderId="5" applyNumberFormat="0" applyAlignment="0" applyProtection="0"/>
    <xf numFmtId="41"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43" fontId="0" fillId="0" borderId="0" applyFont="0" applyFill="0" applyBorder="0" applyAlignment="0" applyProtection="0"/>
  </cellStyleXfs>
  <cellXfs count="563">
    <xf numFmtId="0" fontId="0" fillId="0" borderId="0" xfId="0" applyAlignment="1">
      <alignment/>
    </xf>
    <xf numFmtId="0" fontId="0" fillId="0" borderId="0" xfId="0" applyAlignment="1">
      <alignment wrapText="1"/>
    </xf>
    <xf numFmtId="0" fontId="5" fillId="0" borderId="0" xfId="0" applyFont="1" applyAlignment="1">
      <alignment/>
    </xf>
    <xf numFmtId="0" fontId="2" fillId="0" borderId="0" xfId="0" applyFont="1" applyAlignment="1">
      <alignment horizontal="justify"/>
    </xf>
    <xf numFmtId="0" fontId="3" fillId="0" borderId="0" xfId="0" applyFont="1"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xf>
    <xf numFmtId="0" fontId="3" fillId="0" borderId="0" xfId="0" applyFont="1" applyAlignment="1">
      <alignment horizontal="justify"/>
    </xf>
    <xf numFmtId="0" fontId="3" fillId="0" borderId="0" xfId="0" applyFont="1" applyBorder="1" applyAlignment="1">
      <alignment horizontal="center" wrapText="1"/>
    </xf>
    <xf numFmtId="0" fontId="0" fillId="0" borderId="0" xfId="0" applyFont="1" applyAlignment="1">
      <alignment horizontal="center"/>
    </xf>
    <xf numFmtId="0" fontId="0" fillId="0" borderId="0" xfId="0" applyFont="1" applyBorder="1" applyAlignment="1">
      <alignment wrapText="1"/>
    </xf>
    <xf numFmtId="0" fontId="3" fillId="0" borderId="0" xfId="0" applyFont="1" applyAlignment="1">
      <alignment horizontal="center"/>
    </xf>
    <xf numFmtId="0" fontId="6" fillId="0" borderId="0" xfId="0" applyFont="1" applyAlignment="1">
      <alignment horizontal="center" wrapText="1"/>
    </xf>
    <xf numFmtId="0" fontId="0" fillId="0" borderId="0" xfId="0" applyFill="1" applyAlignment="1">
      <alignment/>
    </xf>
    <xf numFmtId="0" fontId="3" fillId="0" borderId="0" xfId="0" applyFont="1" applyAlignment="1">
      <alignment wrapText="1"/>
    </xf>
    <xf numFmtId="0" fontId="8" fillId="0" borderId="10" xfId="0" applyFont="1" applyBorder="1" applyAlignment="1">
      <alignment horizontal="center"/>
    </xf>
    <xf numFmtId="0" fontId="8" fillId="0" borderId="11" xfId="0" applyFont="1" applyBorder="1" applyAlignment="1">
      <alignment horizontal="center" wrapText="1"/>
    </xf>
    <xf numFmtId="0" fontId="3" fillId="0" borderId="0" xfId="0" applyFont="1" applyAlignment="1">
      <alignment horizontal="center" wrapText="1"/>
    </xf>
    <xf numFmtId="4" fontId="3" fillId="32" borderId="12" xfId="0" applyNumberFormat="1" applyFont="1" applyFill="1" applyBorder="1" applyAlignment="1">
      <alignment/>
    </xf>
    <xf numFmtId="4" fontId="0" fillId="32" borderId="13" xfId="0" applyNumberFormat="1" applyFill="1" applyBorder="1" applyAlignment="1">
      <alignment/>
    </xf>
    <xf numFmtId="4" fontId="0" fillId="32" borderId="14" xfId="0" applyNumberFormat="1" applyFill="1" applyBorder="1" applyAlignment="1">
      <alignment/>
    </xf>
    <xf numFmtId="4" fontId="3" fillId="32" borderId="15" xfId="0" applyNumberFormat="1" applyFont="1" applyFill="1" applyBorder="1" applyAlignment="1">
      <alignment/>
    </xf>
    <xf numFmtId="0" fontId="9" fillId="0" borderId="16" xfId="0" applyFont="1" applyBorder="1" applyAlignment="1">
      <alignment horizontal="left" wrapText="1"/>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10" xfId="0" applyFont="1" applyBorder="1" applyAlignment="1">
      <alignment horizontal="center" wrapText="1"/>
    </xf>
    <xf numFmtId="0" fontId="0" fillId="0" borderId="0" xfId="0" applyBorder="1" applyAlignment="1">
      <alignment horizontal="left"/>
    </xf>
    <xf numFmtId="0" fontId="8" fillId="0" borderId="0" xfId="0" applyFont="1" applyBorder="1" applyAlignment="1">
      <alignment horizontal="center" wrapText="1"/>
    </xf>
    <xf numFmtId="4" fontId="9"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wrapText="1"/>
    </xf>
    <xf numFmtId="0" fontId="8" fillId="0" borderId="0" xfId="0" applyFont="1" applyFill="1" applyBorder="1" applyAlignment="1">
      <alignment horizontal="center" wrapText="1"/>
    </xf>
    <xf numFmtId="0" fontId="0" fillId="0" borderId="14" xfId="0" applyBorder="1" applyAlignment="1">
      <alignment/>
    </xf>
    <xf numFmtId="0" fontId="12" fillId="0" borderId="14" xfId="51" applyFont="1" applyBorder="1" applyAlignment="1">
      <alignment horizontal="center" vertical="center" wrapText="1"/>
      <protection/>
    </xf>
    <xf numFmtId="0" fontId="12" fillId="0" borderId="14" xfId="51" applyFont="1" applyBorder="1" applyAlignment="1">
      <alignment horizontal="center" vertical="center"/>
      <protection/>
    </xf>
    <xf numFmtId="0" fontId="12" fillId="33" borderId="14" xfId="51" applyFont="1" applyFill="1" applyBorder="1" applyAlignment="1">
      <alignment horizontal="center" vertical="center"/>
      <protection/>
    </xf>
    <xf numFmtId="0" fontId="12" fillId="33" borderId="14" xfId="51" applyFont="1" applyFill="1" applyBorder="1" applyAlignment="1">
      <alignment horizontal="center" vertical="center" wrapText="1"/>
      <protection/>
    </xf>
    <xf numFmtId="0" fontId="12" fillId="0" borderId="14" xfId="51" applyFont="1" applyBorder="1" applyAlignment="1">
      <alignment horizontal="justify" vertical="center" wrapText="1"/>
      <protection/>
    </xf>
    <xf numFmtId="0" fontId="12" fillId="0" borderId="20" xfId="51" applyFont="1" applyBorder="1" applyAlignment="1">
      <alignment horizontal="center" vertical="center" wrapText="1"/>
      <protection/>
    </xf>
    <xf numFmtId="0" fontId="12" fillId="0" borderId="20" xfId="51" applyFont="1" applyBorder="1" applyAlignment="1">
      <alignment horizontal="center" vertical="center"/>
      <protection/>
    </xf>
    <xf numFmtId="0" fontId="12" fillId="0" borderId="21" xfId="51" applyFont="1" applyBorder="1" applyAlignment="1">
      <alignment horizontal="center" vertical="center" wrapText="1"/>
      <protection/>
    </xf>
    <xf numFmtId="0" fontId="12" fillId="0" borderId="21" xfId="51" applyFont="1" applyBorder="1" applyAlignment="1">
      <alignment horizontal="center" vertical="center"/>
      <protection/>
    </xf>
    <xf numFmtId="0" fontId="12" fillId="33" borderId="20" xfId="51" applyFont="1" applyFill="1" applyBorder="1" applyAlignment="1">
      <alignment horizontal="center" vertical="center"/>
      <protection/>
    </xf>
    <xf numFmtId="0" fontId="12" fillId="33" borderId="20" xfId="51" applyFont="1" applyFill="1" applyBorder="1" applyAlignment="1">
      <alignment horizontal="center" vertical="center" wrapText="1"/>
      <protection/>
    </xf>
    <xf numFmtId="0" fontId="12" fillId="33" borderId="21" xfId="51" applyFont="1" applyFill="1" applyBorder="1" applyAlignment="1">
      <alignment horizontal="center" vertical="center"/>
      <protection/>
    </xf>
    <xf numFmtId="0" fontId="12" fillId="33" borderId="21" xfId="51" applyFont="1" applyFill="1" applyBorder="1" applyAlignment="1">
      <alignment horizontal="center" vertical="center" wrapText="1"/>
      <protection/>
    </xf>
    <xf numFmtId="0" fontId="12" fillId="0" borderId="21" xfId="51" applyFont="1" applyBorder="1" applyAlignment="1">
      <alignment horizontal="justify" vertical="center" wrapText="1"/>
      <protection/>
    </xf>
    <xf numFmtId="0" fontId="13" fillId="33" borderId="21" xfId="51" applyFont="1" applyFill="1" applyBorder="1" applyAlignment="1">
      <alignment horizontal="center" vertical="center" wrapText="1"/>
      <protection/>
    </xf>
    <xf numFmtId="4" fontId="0" fillId="0" borderId="20" xfId="0" applyNumberFormat="1" applyBorder="1" applyAlignment="1">
      <alignment/>
    </xf>
    <xf numFmtId="4" fontId="0" fillId="0" borderId="14" xfId="0" applyNumberFormat="1" applyBorder="1" applyAlignment="1">
      <alignment/>
    </xf>
    <xf numFmtId="4" fontId="0" fillId="0" borderId="0" xfId="0" applyNumberFormat="1" applyAlignment="1">
      <alignment/>
    </xf>
    <xf numFmtId="4" fontId="3" fillId="0" borderId="0" xfId="0" applyNumberFormat="1" applyFont="1" applyAlignment="1">
      <alignment/>
    </xf>
    <xf numFmtId="0" fontId="14" fillId="34" borderId="0" xfId="0" applyFont="1" applyFill="1" applyAlignment="1">
      <alignment horizontal="center" vertical="center" wrapText="1"/>
    </xf>
    <xf numFmtId="0" fontId="9" fillId="35" borderId="0" xfId="0" applyFont="1" applyFill="1" applyAlignment="1">
      <alignment horizontal="center" vertical="center" wrapText="1"/>
    </xf>
    <xf numFmtId="0" fontId="9" fillId="0" borderId="0" xfId="0" applyFont="1" applyAlignment="1">
      <alignment horizontal="center" vertical="center" wrapText="1"/>
    </xf>
    <xf numFmtId="0" fontId="15" fillId="35" borderId="0" xfId="0" applyFont="1" applyFill="1" applyAlignment="1">
      <alignment horizontal="center" vertical="center" wrapText="1"/>
    </xf>
    <xf numFmtId="0" fontId="15" fillId="35" borderId="0" xfId="0" applyFont="1" applyFill="1" applyAlignment="1">
      <alignment vertical="center" wrapText="1"/>
    </xf>
    <xf numFmtId="8" fontId="15" fillId="35" borderId="0" xfId="0" applyNumberFormat="1" applyFont="1" applyFill="1" applyAlignment="1">
      <alignment horizontal="center" vertical="center" wrapText="1"/>
    </xf>
    <xf numFmtId="0" fontId="16" fillId="35" borderId="0" xfId="0" applyFont="1" applyFill="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vertical="center" wrapText="1"/>
    </xf>
    <xf numFmtId="8" fontId="15" fillId="0" borderId="0" xfId="0" applyNumberFormat="1" applyFont="1" applyAlignment="1">
      <alignment horizontal="center" vertical="center" wrapText="1"/>
    </xf>
    <xf numFmtId="0" fontId="16" fillId="0" borderId="0" xfId="0" applyFont="1" applyAlignment="1">
      <alignment horizontal="center" vertical="center" wrapText="1"/>
    </xf>
    <xf numFmtId="4" fontId="9" fillId="0" borderId="0" xfId="0" applyNumberFormat="1" applyFont="1" applyFill="1" applyBorder="1" applyAlignment="1">
      <alignment wrapText="1"/>
    </xf>
    <xf numFmtId="0" fontId="8" fillId="0" borderId="22" xfId="0" applyFont="1" applyBorder="1" applyAlignment="1">
      <alignment horizontal="center" wrapText="1"/>
    </xf>
    <xf numFmtId="4" fontId="9" fillId="32" borderId="13" xfId="0" applyNumberFormat="1" applyFont="1" applyFill="1" applyBorder="1" applyAlignment="1">
      <alignment/>
    </xf>
    <xf numFmtId="4" fontId="8" fillId="32" borderId="12" xfId="0" applyNumberFormat="1" applyFont="1" applyFill="1" applyBorder="1" applyAlignment="1">
      <alignment/>
    </xf>
    <xf numFmtId="0" fontId="13" fillId="0" borderId="21" xfId="51" applyFont="1" applyBorder="1" applyAlignment="1">
      <alignment horizontal="justify" vertical="center" wrapText="1"/>
      <protection/>
    </xf>
    <xf numFmtId="0" fontId="4" fillId="0" borderId="0" xfId="0" applyFont="1" applyAlignment="1">
      <alignment wrapText="1"/>
    </xf>
    <xf numFmtId="0" fontId="4" fillId="0" borderId="23" xfId="0" applyFont="1" applyBorder="1" applyAlignment="1">
      <alignment/>
    </xf>
    <xf numFmtId="0" fontId="4" fillId="0" borderId="14" xfId="0" applyFont="1" applyBorder="1" applyAlignment="1">
      <alignment wrapText="1"/>
    </xf>
    <xf numFmtId="0" fontId="4" fillId="0" borderId="24" xfId="0" applyFont="1" applyBorder="1" applyAlignment="1">
      <alignment/>
    </xf>
    <xf numFmtId="0" fontId="4" fillId="0" borderId="25" xfId="0" applyFont="1" applyBorder="1" applyAlignment="1">
      <alignment/>
    </xf>
    <xf numFmtId="0" fontId="11" fillId="0" borderId="14" xfId="0" applyFont="1" applyBorder="1" applyAlignment="1">
      <alignment wrapText="1"/>
    </xf>
    <xf numFmtId="0" fontId="11" fillId="0" borderId="24" xfId="0" applyFont="1" applyBorder="1" applyAlignment="1">
      <alignment/>
    </xf>
    <xf numFmtId="0" fontId="11" fillId="0" borderId="21" xfId="0" applyFont="1" applyBorder="1" applyAlignment="1">
      <alignment wrapText="1"/>
    </xf>
    <xf numFmtId="0" fontId="11" fillId="0" borderId="25" xfId="0" applyFont="1" applyBorder="1" applyAlignment="1">
      <alignment/>
    </xf>
    <xf numFmtId="0" fontId="11" fillId="0" borderId="20" xfId="0" applyFont="1" applyBorder="1" applyAlignment="1">
      <alignment wrapText="1"/>
    </xf>
    <xf numFmtId="0" fontId="11" fillId="0" borderId="23" xfId="0" applyFont="1" applyBorder="1" applyAlignment="1">
      <alignment/>
    </xf>
    <xf numFmtId="0" fontId="4" fillId="0" borderId="26" xfId="0" applyFont="1" applyBorder="1" applyAlignment="1">
      <alignment/>
    </xf>
    <xf numFmtId="43" fontId="0" fillId="0" borderId="0" xfId="64" applyFont="1" applyAlignment="1">
      <alignment/>
    </xf>
    <xf numFmtId="43" fontId="0" fillId="0" borderId="20" xfId="64" applyFont="1" applyBorder="1" applyAlignment="1">
      <alignment/>
    </xf>
    <xf numFmtId="43" fontId="0" fillId="0" borderId="14" xfId="64" applyFont="1" applyBorder="1" applyAlignment="1">
      <alignment/>
    </xf>
    <xf numFmtId="43" fontId="0" fillId="0" borderId="21" xfId="64" applyFont="1" applyBorder="1" applyAlignment="1">
      <alignment/>
    </xf>
    <xf numFmtId="43" fontId="3" fillId="0" borderId="0" xfId="64" applyFont="1" applyAlignment="1">
      <alignment/>
    </xf>
    <xf numFmtId="4" fontId="3" fillId="0" borderId="0" xfId="0" applyNumberFormat="1" applyFont="1" applyAlignment="1">
      <alignment horizontal="center"/>
    </xf>
    <xf numFmtId="4" fontId="3" fillId="0" borderId="0" xfId="0" applyNumberFormat="1" applyFont="1" applyAlignment="1">
      <alignment horizontal="center" wrapText="1"/>
    </xf>
    <xf numFmtId="43" fontId="0" fillId="0" borderId="0" xfId="0" applyNumberFormat="1" applyAlignment="1">
      <alignment/>
    </xf>
    <xf numFmtId="43" fontId="3" fillId="0" borderId="0" xfId="0" applyNumberFormat="1" applyFont="1" applyAlignment="1">
      <alignment/>
    </xf>
    <xf numFmtId="0" fontId="11" fillId="0" borderId="0" xfId="0" applyFont="1" applyAlignment="1">
      <alignment/>
    </xf>
    <xf numFmtId="0" fontId="11" fillId="0" borderId="0" xfId="0" applyFont="1" applyAlignment="1">
      <alignment horizontal="center"/>
    </xf>
    <xf numFmtId="0" fontId="0" fillId="0" borderId="0" xfId="0" applyBorder="1" applyAlignment="1">
      <alignment/>
    </xf>
    <xf numFmtId="4" fontId="0" fillId="0" borderId="0" xfId="0" applyNumberFormat="1" applyBorder="1" applyAlignment="1">
      <alignment/>
    </xf>
    <xf numFmtId="16" fontId="0" fillId="0" borderId="0" xfId="0" applyNumberFormat="1" applyAlignment="1">
      <alignment/>
    </xf>
    <xf numFmtId="0" fontId="15" fillId="0" borderId="0" xfId="51" applyFont="1" applyFill="1" applyBorder="1" applyAlignment="1">
      <alignment vertical="center" wrapText="1"/>
      <protection/>
    </xf>
    <xf numFmtId="0" fontId="0" fillId="36" borderId="20" xfId="0" applyFill="1" applyBorder="1" applyAlignment="1">
      <alignment/>
    </xf>
    <xf numFmtId="0" fontId="13" fillId="36" borderId="27" xfId="51" applyFont="1" applyFill="1" applyBorder="1" applyAlignment="1">
      <alignment horizontal="center" vertical="center"/>
      <protection/>
    </xf>
    <xf numFmtId="0" fontId="13" fillId="36" borderId="28" xfId="51" applyFont="1" applyFill="1" applyBorder="1" applyAlignment="1">
      <alignment horizontal="center" vertical="center"/>
      <protection/>
    </xf>
    <xf numFmtId="4" fontId="9" fillId="32" borderId="29" xfId="0" applyNumberFormat="1" applyFont="1" applyFill="1" applyBorder="1" applyAlignment="1">
      <alignment/>
    </xf>
    <xf numFmtId="0" fontId="12" fillId="0" borderId="30" xfId="51" applyFont="1" applyBorder="1" applyAlignment="1">
      <alignment horizontal="justify" vertical="center" wrapText="1"/>
      <protection/>
    </xf>
    <xf numFmtId="0" fontId="8" fillId="0" borderId="31" xfId="0" applyFont="1" applyBorder="1" applyAlignment="1">
      <alignment horizontal="center" wrapText="1"/>
    </xf>
    <xf numFmtId="0" fontId="12" fillId="0" borderId="30" xfId="51" applyFont="1" applyBorder="1" applyAlignment="1">
      <alignment horizontal="center" vertical="center" wrapText="1"/>
      <protection/>
    </xf>
    <xf numFmtId="0" fontId="4" fillId="0" borderId="0" xfId="0" applyFont="1" applyFill="1" applyAlignment="1">
      <alignment/>
    </xf>
    <xf numFmtId="0" fontId="12" fillId="0" borderId="14" xfId="51" applyFont="1" applyFill="1" applyBorder="1" applyAlignment="1">
      <alignment horizontal="center" vertical="center" wrapText="1"/>
      <protection/>
    </xf>
    <xf numFmtId="0" fontId="12" fillId="0" borderId="14" xfId="51" applyFont="1" applyFill="1" applyBorder="1" applyAlignment="1">
      <alignment horizontal="center" vertical="center"/>
      <protection/>
    </xf>
    <xf numFmtId="4" fontId="0" fillId="0" borderId="14" xfId="0" applyNumberFormat="1" applyFill="1" applyBorder="1" applyAlignment="1">
      <alignment/>
    </xf>
    <xf numFmtId="0" fontId="11" fillId="0" borderId="30" xfId="0" applyFont="1" applyBorder="1" applyAlignment="1">
      <alignment wrapText="1"/>
    </xf>
    <xf numFmtId="0" fontId="11" fillId="0" borderId="32" xfId="0" applyFont="1" applyBorder="1" applyAlignment="1">
      <alignment/>
    </xf>
    <xf numFmtId="0" fontId="12" fillId="0" borderId="33" xfId="51" applyFont="1" applyBorder="1" applyAlignment="1">
      <alignment horizontal="center" vertical="center" wrapText="1"/>
      <protection/>
    </xf>
    <xf numFmtId="0" fontId="12" fillId="33" borderId="30" xfId="51" applyFont="1" applyFill="1" applyBorder="1" applyAlignment="1">
      <alignment horizontal="center" vertical="center"/>
      <protection/>
    </xf>
    <xf numFmtId="4" fontId="0" fillId="0" borderId="0" xfId="0" applyNumberFormat="1" applyAlignment="1">
      <alignment wrapText="1"/>
    </xf>
    <xf numFmtId="0" fontId="13" fillId="36" borderId="34" xfId="51" applyFont="1" applyFill="1" applyBorder="1" applyAlignment="1">
      <alignment horizontal="center" vertical="center"/>
      <protection/>
    </xf>
    <xf numFmtId="4" fontId="0" fillId="33" borderId="14" xfId="0" applyNumberFormat="1" applyFill="1" applyBorder="1" applyAlignment="1">
      <alignment/>
    </xf>
    <xf numFmtId="0" fontId="11" fillId="33" borderId="14" xfId="0" applyFont="1" applyFill="1" applyBorder="1" applyAlignment="1">
      <alignment wrapText="1"/>
    </xf>
    <xf numFmtId="0" fontId="11" fillId="33" borderId="24" xfId="0" applyFont="1" applyFill="1" applyBorder="1" applyAlignment="1">
      <alignment/>
    </xf>
    <xf numFmtId="4" fontId="0" fillId="33" borderId="21" xfId="0" applyNumberFormat="1" applyFill="1" applyBorder="1" applyAlignment="1">
      <alignment/>
    </xf>
    <xf numFmtId="0" fontId="11" fillId="33" borderId="21" xfId="0" applyFont="1" applyFill="1" applyBorder="1" applyAlignment="1">
      <alignment wrapText="1"/>
    </xf>
    <xf numFmtId="0" fontId="11" fillId="33" borderId="25" xfId="0" applyFont="1" applyFill="1" applyBorder="1" applyAlignment="1">
      <alignment/>
    </xf>
    <xf numFmtId="4" fontId="0" fillId="33" borderId="30" xfId="0" applyNumberFormat="1" applyFill="1" applyBorder="1" applyAlignment="1">
      <alignment/>
    </xf>
    <xf numFmtId="0" fontId="11" fillId="33" borderId="32" xfId="0" applyFont="1" applyFill="1" applyBorder="1" applyAlignment="1">
      <alignment/>
    </xf>
    <xf numFmtId="0" fontId="4" fillId="33" borderId="21" xfId="0" applyFont="1" applyFill="1" applyBorder="1" applyAlignment="1">
      <alignment wrapText="1"/>
    </xf>
    <xf numFmtId="0" fontId="4" fillId="33" borderId="25" xfId="0" applyFont="1" applyFill="1" applyBorder="1" applyAlignment="1">
      <alignment/>
    </xf>
    <xf numFmtId="0" fontId="11" fillId="33" borderId="30" xfId="0" applyFont="1" applyFill="1" applyBorder="1" applyAlignment="1">
      <alignment wrapText="1"/>
    </xf>
    <xf numFmtId="0" fontId="0" fillId="33" borderId="20" xfId="0" applyFill="1" applyBorder="1" applyAlignment="1">
      <alignment/>
    </xf>
    <xf numFmtId="0" fontId="0" fillId="33" borderId="21" xfId="0" applyFill="1" applyBorder="1" applyAlignment="1">
      <alignment/>
    </xf>
    <xf numFmtId="0" fontId="4" fillId="33" borderId="20" xfId="0" applyFont="1" applyFill="1" applyBorder="1" applyAlignment="1">
      <alignment wrapText="1"/>
    </xf>
    <xf numFmtId="0" fontId="4" fillId="33" borderId="23" xfId="0" applyFont="1" applyFill="1" applyBorder="1" applyAlignment="1">
      <alignment/>
    </xf>
    <xf numFmtId="0" fontId="4" fillId="33" borderId="33" xfId="0" applyFont="1" applyFill="1" applyBorder="1" applyAlignment="1">
      <alignment wrapText="1"/>
    </xf>
    <xf numFmtId="0" fontId="4" fillId="33" borderId="35" xfId="0" applyFont="1" applyFill="1" applyBorder="1" applyAlignment="1">
      <alignment/>
    </xf>
    <xf numFmtId="0" fontId="4" fillId="33" borderId="36" xfId="0" applyFont="1" applyFill="1" applyBorder="1" applyAlignment="1">
      <alignment wrapText="1"/>
    </xf>
    <xf numFmtId="0" fontId="4" fillId="33" borderId="37" xfId="0" applyFont="1" applyFill="1" applyBorder="1" applyAlignment="1">
      <alignment wrapText="1"/>
    </xf>
    <xf numFmtId="0" fontId="4" fillId="33" borderId="24" xfId="0" applyFont="1" applyFill="1" applyBorder="1" applyAlignment="1">
      <alignment/>
    </xf>
    <xf numFmtId="0" fontId="0" fillId="33" borderId="14" xfId="0" applyFill="1" applyBorder="1" applyAlignment="1">
      <alignment/>
    </xf>
    <xf numFmtId="0" fontId="4" fillId="33" borderId="30" xfId="0" applyFont="1" applyFill="1" applyBorder="1" applyAlignment="1">
      <alignment wrapText="1"/>
    </xf>
    <xf numFmtId="0" fontId="4" fillId="33" borderId="32" xfId="0" applyFont="1" applyFill="1" applyBorder="1" applyAlignment="1">
      <alignment/>
    </xf>
    <xf numFmtId="4" fontId="4" fillId="33" borderId="14" xfId="0" applyNumberFormat="1" applyFont="1" applyFill="1" applyBorder="1" applyAlignment="1">
      <alignment/>
    </xf>
    <xf numFmtId="4" fontId="4" fillId="33" borderId="21" xfId="0" applyNumberFormat="1" applyFont="1" applyFill="1" applyBorder="1" applyAlignment="1">
      <alignment/>
    </xf>
    <xf numFmtId="0" fontId="4" fillId="33" borderId="14" xfId="0" applyFont="1" applyFill="1" applyBorder="1" applyAlignment="1">
      <alignment wrapText="1"/>
    </xf>
    <xf numFmtId="0" fontId="4" fillId="33" borderId="20" xfId="0" applyFont="1" applyFill="1" applyBorder="1" applyAlignment="1">
      <alignment/>
    </xf>
    <xf numFmtId="0" fontId="4" fillId="33" borderId="30" xfId="0" applyFont="1" applyFill="1" applyBorder="1" applyAlignment="1">
      <alignment/>
    </xf>
    <xf numFmtId="0" fontId="12" fillId="0" borderId="38" xfId="51" applyFont="1" applyBorder="1" applyAlignment="1">
      <alignment horizontal="left" vertical="center" wrapText="1"/>
      <protection/>
    </xf>
    <xf numFmtId="0" fontId="12" fillId="0" borderId="39" xfId="51" applyFont="1" applyBorder="1" applyAlignment="1">
      <alignment horizontal="left" vertical="center" wrapText="1"/>
      <protection/>
    </xf>
    <xf numFmtId="0" fontId="12" fillId="0" borderId="40" xfId="51" applyFont="1" applyBorder="1" applyAlignment="1">
      <alignment horizontal="left" vertical="center" wrapText="1"/>
      <protection/>
    </xf>
    <xf numFmtId="0" fontId="12" fillId="0" borderId="41" xfId="51" applyFont="1" applyBorder="1" applyAlignment="1">
      <alignment horizontal="left" vertical="center" wrapText="1"/>
      <protection/>
    </xf>
    <xf numFmtId="0" fontId="12" fillId="0" borderId="40" xfId="51" applyFont="1" applyFill="1" applyBorder="1" applyAlignment="1">
      <alignment horizontal="left" vertical="center" wrapText="1"/>
      <protection/>
    </xf>
    <xf numFmtId="0" fontId="12" fillId="0" borderId="41" xfId="51" applyFont="1" applyFill="1" applyBorder="1" applyAlignment="1">
      <alignment horizontal="left" vertical="center" wrapText="1"/>
      <protection/>
    </xf>
    <xf numFmtId="0" fontId="13" fillId="33" borderId="28" xfId="51" applyFont="1" applyFill="1" applyBorder="1" applyAlignment="1">
      <alignment horizontal="left" vertical="center" wrapText="1"/>
      <protection/>
    </xf>
    <xf numFmtId="0" fontId="13" fillId="33" borderId="42" xfId="51" applyFont="1" applyFill="1" applyBorder="1" applyAlignment="1">
      <alignment horizontal="left" vertical="center" wrapText="1"/>
      <protection/>
    </xf>
    <xf numFmtId="0" fontId="13" fillId="33" borderId="40" xfId="51" applyFont="1" applyFill="1" applyBorder="1" applyAlignment="1">
      <alignment horizontal="left" vertical="center" wrapText="1"/>
      <protection/>
    </xf>
    <xf numFmtId="0" fontId="13" fillId="33" borderId="41" xfId="51" applyFont="1" applyFill="1" applyBorder="1" applyAlignment="1">
      <alignment horizontal="left" vertical="center" wrapText="1"/>
      <protection/>
    </xf>
    <xf numFmtId="0" fontId="4" fillId="0" borderId="40" xfId="51" applyFont="1" applyFill="1" applyBorder="1" applyAlignment="1">
      <alignment horizontal="left" vertical="center" wrapText="1"/>
      <protection/>
    </xf>
    <xf numFmtId="0" fontId="4" fillId="0" borderId="41" xfId="51" applyFont="1" applyFill="1" applyBorder="1" applyAlignment="1">
      <alignment horizontal="left" vertical="center" wrapText="1"/>
      <protection/>
    </xf>
    <xf numFmtId="0" fontId="13" fillId="33" borderId="36" xfId="51" applyFont="1" applyFill="1" applyBorder="1" applyAlignment="1">
      <alignment horizontal="center" vertical="center" wrapText="1"/>
      <protection/>
    </xf>
    <xf numFmtId="0" fontId="13" fillId="33" borderId="37" xfId="51" applyFont="1" applyFill="1" applyBorder="1" applyAlignment="1">
      <alignment horizontal="center" vertical="center" wrapText="1"/>
      <protection/>
    </xf>
    <xf numFmtId="0" fontId="13" fillId="33" borderId="43" xfId="51" applyFont="1" applyFill="1" applyBorder="1" applyAlignment="1">
      <alignment horizontal="center" vertical="center" wrapText="1"/>
      <protection/>
    </xf>
    <xf numFmtId="0" fontId="13" fillId="33" borderId="27" xfId="51" applyFont="1" applyFill="1" applyBorder="1" applyAlignment="1">
      <alignment horizontal="center" vertical="center" wrapText="1"/>
      <protection/>
    </xf>
    <xf numFmtId="0" fontId="13" fillId="0" borderId="0" xfId="51" applyFont="1" applyBorder="1" applyAlignment="1">
      <alignment horizontal="justify" vertical="center" wrapText="1"/>
      <protection/>
    </xf>
    <xf numFmtId="0" fontId="4" fillId="0" borderId="44" xfId="0" applyFont="1" applyBorder="1" applyAlignment="1">
      <alignment/>
    </xf>
    <xf numFmtId="0" fontId="13" fillId="0" borderId="19" xfId="51" applyFont="1" applyFill="1" applyBorder="1" applyAlignment="1">
      <alignment horizontal="center" vertical="center" wrapText="1"/>
      <protection/>
    </xf>
    <xf numFmtId="0" fontId="13" fillId="0" borderId="0" xfId="51" applyFont="1" applyFill="1" applyBorder="1" applyAlignment="1">
      <alignment horizontal="center" vertical="center" wrapText="1"/>
      <protection/>
    </xf>
    <xf numFmtId="0" fontId="13" fillId="0" borderId="45" xfId="51" applyFont="1" applyFill="1" applyBorder="1" applyAlignment="1">
      <alignment horizontal="center" vertical="center" wrapText="1"/>
      <protection/>
    </xf>
    <xf numFmtId="0" fontId="17" fillId="0" borderId="0" xfId="51" applyFont="1" applyBorder="1" applyAlignment="1">
      <alignment horizontal="justify" vertical="center" wrapText="1"/>
      <protection/>
    </xf>
    <xf numFmtId="0" fontId="13" fillId="0" borderId="46" xfId="51" applyFont="1" applyBorder="1" applyAlignment="1">
      <alignment horizontal="justify" vertical="center" wrapText="1"/>
      <protection/>
    </xf>
    <xf numFmtId="0" fontId="4" fillId="0" borderId="47" xfId="0" applyFont="1" applyBorder="1" applyAlignment="1">
      <alignment/>
    </xf>
    <xf numFmtId="4" fontId="0" fillId="0" borderId="14" xfId="0" applyNumberFormat="1" applyFill="1" applyBorder="1" applyAlignment="1">
      <alignment/>
    </xf>
    <xf numFmtId="4" fontId="12" fillId="37" borderId="20" xfId="51" applyNumberFormat="1" applyFont="1" applyFill="1" applyBorder="1" applyAlignment="1">
      <alignment horizontal="center" vertical="center" wrapText="1"/>
      <protection/>
    </xf>
    <xf numFmtId="4" fontId="12" fillId="37" borderId="20" xfId="51" applyNumberFormat="1" applyFont="1" applyFill="1" applyBorder="1" applyAlignment="1">
      <alignment horizontal="center" vertical="center"/>
      <protection/>
    </xf>
    <xf numFmtId="0" fontId="12" fillId="37" borderId="14" xfId="51" applyFont="1" applyFill="1" applyBorder="1" applyAlignment="1">
      <alignment horizontal="center" vertical="center" wrapText="1"/>
      <protection/>
    </xf>
    <xf numFmtId="4" fontId="0" fillId="0" borderId="20" xfId="0" applyNumberFormat="1" applyBorder="1" applyAlignment="1">
      <alignment/>
    </xf>
    <xf numFmtId="4" fontId="0" fillId="0" borderId="14" xfId="0" applyNumberFormat="1" applyBorder="1" applyAlignment="1">
      <alignment/>
    </xf>
    <xf numFmtId="4" fontId="0" fillId="0" borderId="30" xfId="0" applyNumberFormat="1" applyBorder="1" applyAlignment="1">
      <alignment/>
    </xf>
    <xf numFmtId="4" fontId="0" fillId="33" borderId="30" xfId="0" applyNumberFormat="1" applyFill="1" applyBorder="1" applyAlignment="1">
      <alignment/>
    </xf>
    <xf numFmtId="4" fontId="0" fillId="33" borderId="21" xfId="0" applyNumberFormat="1" applyFill="1" applyBorder="1" applyAlignment="1">
      <alignment/>
    </xf>
    <xf numFmtId="0" fontId="3" fillId="0" borderId="48" xfId="0" applyFont="1" applyBorder="1" applyAlignment="1">
      <alignment horizontal="center" vertical="center"/>
    </xf>
    <xf numFmtId="0" fontId="13" fillId="0" borderId="49" xfId="51" applyFont="1" applyBorder="1" applyAlignment="1">
      <alignment horizontal="justify" vertical="center" wrapText="1"/>
      <protection/>
    </xf>
    <xf numFmtId="0" fontId="4" fillId="0" borderId="49" xfId="0" applyFont="1" applyBorder="1" applyAlignment="1">
      <alignment/>
    </xf>
    <xf numFmtId="0" fontId="13" fillId="0" borderId="33" xfId="51" applyFont="1" applyBorder="1" applyAlignment="1">
      <alignment horizontal="justify" vertical="center" wrapText="1"/>
      <protection/>
    </xf>
    <xf numFmtId="0" fontId="4" fillId="0" borderId="33" xfId="0" applyFont="1" applyBorder="1" applyAlignment="1">
      <alignment/>
    </xf>
    <xf numFmtId="0" fontId="13" fillId="37" borderId="0" xfId="51" applyFont="1" applyFill="1" applyBorder="1" applyAlignment="1">
      <alignment horizontal="justify" vertical="center" wrapText="1"/>
      <protection/>
    </xf>
    <xf numFmtId="4" fontId="13" fillId="37" borderId="0" xfId="51" applyNumberFormat="1" applyFont="1" applyFill="1" applyBorder="1" applyAlignment="1">
      <alignment horizontal="justify" vertical="center" wrapText="1"/>
      <protection/>
    </xf>
    <xf numFmtId="4" fontId="12" fillId="37" borderId="14" xfId="51" applyNumberFormat="1" applyFont="1" applyFill="1" applyBorder="1" applyAlignment="1">
      <alignment horizontal="center" vertical="center"/>
      <protection/>
    </xf>
    <xf numFmtId="4" fontId="12" fillId="37" borderId="14" xfId="51" applyNumberFormat="1" applyFont="1" applyFill="1" applyBorder="1" applyAlignment="1">
      <alignment horizontal="center" vertical="center" wrapText="1"/>
      <protection/>
    </xf>
    <xf numFmtId="4" fontId="12" fillId="37" borderId="21" xfId="51" applyNumberFormat="1" applyFont="1" applyFill="1" applyBorder="1" applyAlignment="1">
      <alignment horizontal="center" vertical="center"/>
      <protection/>
    </xf>
    <xf numFmtId="4" fontId="12" fillId="37" borderId="21" xfId="51" applyNumberFormat="1" applyFont="1" applyFill="1" applyBorder="1" applyAlignment="1">
      <alignment horizontal="center" vertical="center" wrapText="1"/>
      <protection/>
    </xf>
    <xf numFmtId="4" fontId="4" fillId="0" borderId="0" xfId="0" applyNumberFormat="1" applyFont="1" applyAlignment="1">
      <alignment wrapText="1"/>
    </xf>
    <xf numFmtId="4" fontId="0" fillId="0" borderId="0" xfId="0" applyNumberFormat="1" applyFill="1" applyBorder="1" applyAlignment="1">
      <alignment/>
    </xf>
    <xf numFmtId="0" fontId="12" fillId="37" borderId="20" xfId="51" applyFont="1" applyFill="1" applyBorder="1" applyAlignment="1">
      <alignment horizontal="center" vertical="center" wrapText="1"/>
      <protection/>
    </xf>
    <xf numFmtId="0" fontId="12" fillId="37" borderId="21" xfId="51" applyFont="1" applyFill="1" applyBorder="1" applyAlignment="1">
      <alignment horizontal="center" vertical="center" wrapText="1"/>
      <protection/>
    </xf>
    <xf numFmtId="2" fontId="13" fillId="37" borderId="0" xfId="51" applyNumberFormat="1" applyFont="1" applyFill="1" applyBorder="1" applyAlignment="1">
      <alignment horizontal="justify" vertical="center" wrapText="1"/>
      <protection/>
    </xf>
    <xf numFmtId="2" fontId="12" fillId="37" borderId="20" xfId="51" applyNumberFormat="1" applyFont="1" applyFill="1" applyBorder="1" applyAlignment="1">
      <alignment horizontal="center" vertical="center"/>
      <protection/>
    </xf>
    <xf numFmtId="2" fontId="12" fillId="37" borderId="14" xfId="51" applyNumberFormat="1" applyFont="1" applyFill="1" applyBorder="1" applyAlignment="1">
      <alignment horizontal="center" vertical="center"/>
      <protection/>
    </xf>
    <xf numFmtId="0" fontId="12" fillId="37" borderId="14" xfId="51" applyFont="1" applyFill="1" applyBorder="1" applyAlignment="1">
      <alignment horizontal="center" vertical="center"/>
      <protection/>
    </xf>
    <xf numFmtId="0" fontId="12" fillId="37" borderId="21" xfId="51" applyFont="1" applyFill="1" applyBorder="1" applyAlignment="1">
      <alignment horizontal="center" vertical="center"/>
      <protection/>
    </xf>
    <xf numFmtId="0" fontId="12" fillId="37" borderId="20" xfId="51" applyFont="1" applyFill="1" applyBorder="1" applyAlignment="1">
      <alignment horizontal="center" vertical="center"/>
      <protection/>
    </xf>
    <xf numFmtId="0" fontId="13" fillId="0" borderId="0" xfId="51" applyFont="1" applyBorder="1" applyAlignment="1">
      <alignment horizontal="center" vertical="center" wrapText="1"/>
      <protection/>
    </xf>
    <xf numFmtId="0" fontId="13" fillId="37" borderId="0" xfId="51" applyFont="1" applyFill="1" applyBorder="1" applyAlignment="1">
      <alignment horizontal="center" vertical="center" wrapText="1"/>
      <protection/>
    </xf>
    <xf numFmtId="0" fontId="13" fillId="37" borderId="46" xfId="51" applyFont="1" applyFill="1" applyBorder="1" applyAlignment="1">
      <alignment horizontal="center" vertical="center" wrapText="1"/>
      <protection/>
    </xf>
    <xf numFmtId="0" fontId="13" fillId="0" borderId="46" xfId="51" applyFont="1" applyBorder="1" applyAlignment="1">
      <alignment horizontal="center" vertical="center" wrapText="1"/>
      <protection/>
    </xf>
    <xf numFmtId="43" fontId="12" fillId="37" borderId="20" xfId="51" applyNumberFormat="1" applyFont="1" applyFill="1" applyBorder="1" applyAlignment="1">
      <alignment horizontal="center" vertical="center"/>
      <protection/>
    </xf>
    <xf numFmtId="43" fontId="12" fillId="37" borderId="20" xfId="51" applyNumberFormat="1" applyFont="1" applyFill="1" applyBorder="1" applyAlignment="1">
      <alignment horizontal="center" vertical="center" wrapText="1"/>
      <protection/>
    </xf>
    <xf numFmtId="43" fontId="13" fillId="0" borderId="0" xfId="51" applyNumberFormat="1" applyFont="1" applyBorder="1" applyAlignment="1">
      <alignment horizontal="justify" vertical="center" wrapText="1"/>
      <protection/>
    </xf>
    <xf numFmtId="43" fontId="12" fillId="37" borderId="14" xfId="51" applyNumberFormat="1" applyFont="1" applyFill="1" applyBorder="1" applyAlignment="1">
      <alignment horizontal="center" vertical="center"/>
      <protection/>
    </xf>
    <xf numFmtId="43" fontId="12" fillId="37" borderId="14" xfId="51" applyNumberFormat="1" applyFont="1" applyFill="1" applyBorder="1" applyAlignment="1">
      <alignment horizontal="center" vertical="center" wrapText="1"/>
      <protection/>
    </xf>
    <xf numFmtId="43" fontId="12" fillId="37" borderId="21" xfId="51" applyNumberFormat="1" applyFont="1" applyFill="1" applyBorder="1" applyAlignment="1">
      <alignment horizontal="center" vertical="center"/>
      <protection/>
    </xf>
    <xf numFmtId="43" fontId="12" fillId="37" borderId="21" xfId="51" applyNumberFormat="1" applyFont="1" applyFill="1" applyBorder="1" applyAlignment="1">
      <alignment horizontal="center" vertical="center" wrapText="1"/>
      <protection/>
    </xf>
    <xf numFmtId="2" fontId="12" fillId="37" borderId="21" xfId="51" applyNumberFormat="1" applyFont="1" applyFill="1" applyBorder="1" applyAlignment="1">
      <alignment horizontal="center" vertical="center"/>
      <protection/>
    </xf>
    <xf numFmtId="2" fontId="13" fillId="37" borderId="33" xfId="51" applyNumberFormat="1" applyFont="1" applyFill="1" applyBorder="1" applyAlignment="1">
      <alignment horizontal="justify" vertical="center" wrapText="1"/>
      <protection/>
    </xf>
    <xf numFmtId="4" fontId="13" fillId="37" borderId="33" xfId="51" applyNumberFormat="1" applyFont="1" applyFill="1" applyBorder="1" applyAlignment="1">
      <alignment horizontal="justify" vertical="center" wrapText="1"/>
      <protection/>
    </xf>
    <xf numFmtId="0" fontId="13" fillId="37" borderId="49" xfId="51" applyFont="1" applyFill="1" applyBorder="1" applyAlignment="1">
      <alignment horizontal="justify" vertical="center" wrapText="1"/>
      <protection/>
    </xf>
    <xf numFmtId="2" fontId="12" fillId="37" borderId="20" xfId="51" applyNumberFormat="1" applyFont="1" applyFill="1" applyBorder="1" applyAlignment="1">
      <alignment horizontal="center" vertical="center" wrapText="1"/>
      <protection/>
    </xf>
    <xf numFmtId="4" fontId="13" fillId="0" borderId="0" xfId="51" applyNumberFormat="1" applyFont="1" applyBorder="1" applyAlignment="1">
      <alignment horizontal="justify" vertical="center" wrapText="1"/>
      <protection/>
    </xf>
    <xf numFmtId="4" fontId="4" fillId="0" borderId="44" xfId="0" applyNumberFormat="1" applyFont="1" applyBorder="1" applyAlignment="1">
      <alignment/>
    </xf>
    <xf numFmtId="43" fontId="3" fillId="0" borderId="48" xfId="0" applyNumberFormat="1" applyFont="1" applyBorder="1" applyAlignment="1">
      <alignment horizontal="center" vertical="center"/>
    </xf>
    <xf numFmtId="2" fontId="0" fillId="0" borderId="14" xfId="0" applyNumberFormat="1" applyBorder="1" applyAlignment="1">
      <alignment/>
    </xf>
    <xf numFmtId="43" fontId="0" fillId="0" borderId="24" xfId="0" applyNumberFormat="1" applyBorder="1" applyAlignment="1">
      <alignment/>
    </xf>
    <xf numFmtId="2" fontId="3" fillId="0" borderId="21" xfId="0" applyNumberFormat="1" applyFont="1" applyBorder="1" applyAlignment="1">
      <alignment/>
    </xf>
    <xf numFmtId="43" fontId="3" fillId="0" borderId="25" xfId="0" applyNumberFormat="1" applyFont="1" applyBorder="1" applyAlignment="1">
      <alignment/>
    </xf>
    <xf numFmtId="0" fontId="3" fillId="0" borderId="36" xfId="0" applyFont="1" applyBorder="1" applyAlignment="1">
      <alignment horizontal="center"/>
    </xf>
    <xf numFmtId="0" fontId="3" fillId="0" borderId="20" xfId="0" applyFont="1" applyBorder="1" applyAlignment="1">
      <alignment horizontal="center"/>
    </xf>
    <xf numFmtId="0" fontId="3" fillId="0" borderId="23" xfId="0" applyFont="1" applyBorder="1" applyAlignment="1">
      <alignment horizontal="center"/>
    </xf>
    <xf numFmtId="0" fontId="3" fillId="0" borderId="46" xfId="0" applyFont="1" applyBorder="1" applyAlignment="1">
      <alignment/>
    </xf>
    <xf numFmtId="0" fontId="0" fillId="0" borderId="46" xfId="0" applyBorder="1" applyAlignment="1">
      <alignment/>
    </xf>
    <xf numFmtId="0" fontId="3" fillId="0" borderId="27" xfId="0" applyFont="1" applyBorder="1" applyAlignment="1">
      <alignment/>
    </xf>
    <xf numFmtId="0" fontId="3" fillId="33" borderId="48" xfId="0" applyFont="1" applyFill="1" applyBorder="1" applyAlignment="1">
      <alignment horizontal="center"/>
    </xf>
    <xf numFmtId="0" fontId="0" fillId="0" borderId="48" xfId="0" applyBorder="1" applyAlignment="1">
      <alignment/>
    </xf>
    <xf numFmtId="0" fontId="0" fillId="0" borderId="50" xfId="0" applyBorder="1" applyAlignment="1">
      <alignment/>
    </xf>
    <xf numFmtId="2" fontId="3" fillId="37" borderId="50" xfId="0" applyNumberFormat="1" applyFont="1" applyFill="1" applyBorder="1" applyAlignment="1">
      <alignment horizontal="center"/>
    </xf>
    <xf numFmtId="0" fontId="3" fillId="0" borderId="50" xfId="0" applyFont="1" applyBorder="1" applyAlignment="1">
      <alignment horizontal="center"/>
    </xf>
    <xf numFmtId="0" fontId="0" fillId="0" borderId="51" xfId="0" applyBorder="1" applyAlignment="1">
      <alignment/>
    </xf>
    <xf numFmtId="0" fontId="4" fillId="0" borderId="20" xfId="0" applyFont="1" applyBorder="1" applyAlignment="1">
      <alignment wrapText="1"/>
    </xf>
    <xf numFmtId="0" fontId="0" fillId="33" borderId="21" xfId="0" applyFont="1" applyFill="1" applyBorder="1" applyAlignment="1">
      <alignment/>
    </xf>
    <xf numFmtId="0" fontId="0" fillId="33" borderId="21" xfId="0" applyFill="1" applyBorder="1" applyAlignment="1">
      <alignment/>
    </xf>
    <xf numFmtId="2" fontId="12" fillId="37" borderId="21" xfId="51" applyNumberFormat="1" applyFont="1" applyFill="1" applyBorder="1" applyAlignment="1">
      <alignment horizontal="center" vertical="center" wrapText="1"/>
      <protection/>
    </xf>
    <xf numFmtId="0" fontId="4" fillId="0" borderId="21" xfId="0" applyFont="1" applyBorder="1" applyAlignment="1">
      <alignment wrapText="1"/>
    </xf>
    <xf numFmtId="0" fontId="0" fillId="33" borderId="52" xfId="0" applyFill="1" applyBorder="1" applyAlignment="1">
      <alignment/>
    </xf>
    <xf numFmtId="0" fontId="4" fillId="0" borderId="53" xfId="0" applyFont="1" applyBorder="1" applyAlignment="1">
      <alignment wrapText="1"/>
    </xf>
    <xf numFmtId="0" fontId="4" fillId="0" borderId="54" xfId="0" applyFont="1" applyBorder="1" applyAlignment="1">
      <alignment/>
    </xf>
    <xf numFmtId="0" fontId="0" fillId="33" borderId="20" xfId="0" applyFont="1" applyFill="1" applyBorder="1" applyAlignment="1">
      <alignment horizontal="center"/>
    </xf>
    <xf numFmtId="0" fontId="0" fillId="0" borderId="20" xfId="0" applyFont="1" applyBorder="1" applyAlignment="1">
      <alignment/>
    </xf>
    <xf numFmtId="0" fontId="0" fillId="33" borderId="21" xfId="0" applyFont="1" applyFill="1" applyBorder="1" applyAlignment="1">
      <alignment horizontal="center"/>
    </xf>
    <xf numFmtId="0" fontId="0" fillId="0" borderId="21" xfId="0" applyFont="1" applyBorder="1" applyAlignment="1">
      <alignment/>
    </xf>
    <xf numFmtId="2" fontId="3" fillId="37" borderId="48" xfId="0" applyNumberFormat="1" applyFont="1" applyFill="1" applyBorder="1" applyAlignment="1">
      <alignment horizontal="center"/>
    </xf>
    <xf numFmtId="43" fontId="3" fillId="37" borderId="48" xfId="0" applyNumberFormat="1" applyFont="1" applyFill="1" applyBorder="1" applyAlignment="1">
      <alignment horizontal="center" vertical="center"/>
    </xf>
    <xf numFmtId="4" fontId="0" fillId="33" borderId="20" xfId="0" applyNumberFormat="1" applyFont="1" applyFill="1" applyBorder="1" applyAlignment="1">
      <alignment/>
    </xf>
    <xf numFmtId="0" fontId="4" fillId="0" borderId="14" xfId="51" applyFont="1" applyBorder="1" applyAlignment="1">
      <alignment horizontal="center" vertical="center"/>
      <protection/>
    </xf>
    <xf numFmtId="4" fontId="4" fillId="37" borderId="14" xfId="51" applyNumberFormat="1" applyFont="1" applyFill="1" applyBorder="1" applyAlignment="1">
      <alignment horizontal="center" vertical="center"/>
      <protection/>
    </xf>
    <xf numFmtId="0" fontId="4" fillId="0" borderId="14" xfId="51" applyFont="1" applyBorder="1" applyAlignment="1">
      <alignment horizontal="center" vertical="center" wrapText="1"/>
      <protection/>
    </xf>
    <xf numFmtId="4" fontId="4" fillId="37" borderId="14" xfId="51" applyNumberFormat="1" applyFont="1" applyFill="1" applyBorder="1" applyAlignment="1">
      <alignment horizontal="center" vertical="center" wrapText="1"/>
      <protection/>
    </xf>
    <xf numFmtId="4" fontId="0" fillId="0" borderId="0" xfId="0" applyNumberFormat="1"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43" fontId="0" fillId="0" borderId="0" xfId="64" applyFont="1" applyAlignment="1">
      <alignment/>
    </xf>
    <xf numFmtId="0" fontId="0" fillId="0" borderId="0" xfId="0" applyFont="1" applyAlignment="1">
      <alignment horizontal="center"/>
    </xf>
    <xf numFmtId="0" fontId="0" fillId="35" borderId="0" xfId="0" applyFont="1" applyFill="1" applyAlignment="1">
      <alignment horizontal="center" vertical="center" wrapText="1"/>
    </xf>
    <xf numFmtId="0" fontId="0" fillId="35" borderId="0" xfId="0" applyFont="1" applyFill="1" applyAlignment="1">
      <alignment vertical="center" wrapText="1"/>
    </xf>
    <xf numFmtId="8" fontId="0" fillId="35" borderId="0" xfId="0" applyNumberFormat="1" applyFont="1" applyFill="1" applyAlignment="1">
      <alignment horizontal="center" vertical="center" wrapText="1"/>
    </xf>
    <xf numFmtId="8" fontId="0" fillId="0" borderId="0" xfId="0" applyNumberFormat="1" applyFont="1" applyAlignment="1">
      <alignment horizontal="center" vertical="center" wrapText="1"/>
    </xf>
    <xf numFmtId="0" fontId="0" fillId="0" borderId="0" xfId="0" applyAlignment="1">
      <alignment/>
    </xf>
    <xf numFmtId="0" fontId="0" fillId="0" borderId="0" xfId="0" applyFont="1" applyAlignment="1">
      <alignment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vertical="center" wrapText="1"/>
    </xf>
    <xf numFmtId="4" fontId="0" fillId="0" borderId="0" xfId="0" applyNumberFormat="1" applyFont="1" applyAlignment="1">
      <alignment horizontal="center"/>
    </xf>
    <xf numFmtId="0" fontId="0" fillId="0" borderId="0" xfId="0" applyAlignment="1">
      <alignment horizontal="center"/>
    </xf>
    <xf numFmtId="2" fontId="0" fillId="36" borderId="0" xfId="0" applyNumberFormat="1" applyFill="1" applyAlignment="1">
      <alignment/>
    </xf>
    <xf numFmtId="0" fontId="2" fillId="0" borderId="0" xfId="0" applyFont="1" applyAlignment="1">
      <alignment/>
    </xf>
    <xf numFmtId="0" fontId="5" fillId="0" borderId="0" xfId="0" applyFont="1" applyAlignment="1">
      <alignment horizontal="justify"/>
    </xf>
    <xf numFmtId="0" fontId="21" fillId="0" borderId="0" xfId="0" applyFont="1" applyAlignment="1">
      <alignment horizontal="justify"/>
    </xf>
    <xf numFmtId="0" fontId="24" fillId="0" borderId="55" xfId="0" applyFont="1" applyBorder="1" applyAlignment="1">
      <alignment horizontal="center" wrapText="1"/>
    </xf>
    <xf numFmtId="0" fontId="24" fillId="0" borderId="56" xfId="0" applyFont="1" applyBorder="1" applyAlignment="1">
      <alignment horizontal="center" vertical="top" wrapText="1"/>
    </xf>
    <xf numFmtId="0" fontId="0" fillId="0" borderId="37" xfId="0" applyFont="1" applyBorder="1" applyAlignment="1">
      <alignment/>
    </xf>
    <xf numFmtId="2" fontId="0" fillId="0" borderId="37" xfId="0" applyNumberFormat="1" applyFont="1" applyBorder="1" applyAlignment="1">
      <alignment/>
    </xf>
    <xf numFmtId="0" fontId="0" fillId="0" borderId="0" xfId="0" applyFont="1" applyAlignment="1">
      <alignment horizontal="justify"/>
    </xf>
    <xf numFmtId="9" fontId="0" fillId="0" borderId="0" xfId="0" applyNumberFormat="1" applyFont="1" applyAlignment="1">
      <alignment horizontal="justify"/>
    </xf>
    <xf numFmtId="0" fontId="4" fillId="33" borderId="23" xfId="0" applyFont="1" applyFill="1" applyBorder="1" applyAlignment="1">
      <alignment wrapText="1"/>
    </xf>
    <xf numFmtId="0" fontId="4" fillId="33" borderId="23" xfId="0" applyFont="1" applyFill="1" applyBorder="1" applyAlignment="1">
      <alignment horizontal="center" wrapText="1"/>
    </xf>
    <xf numFmtId="0" fontId="0" fillId="38" borderId="0" xfId="0" applyFill="1" applyAlignment="1">
      <alignment/>
    </xf>
    <xf numFmtId="0" fontId="0" fillId="38" borderId="14" xfId="0" applyFont="1" applyFill="1" applyBorder="1" applyAlignment="1">
      <alignment horizontal="center" wrapText="1"/>
    </xf>
    <xf numFmtId="0" fontId="0" fillId="38" borderId="16" xfId="0" applyFont="1" applyFill="1" applyBorder="1" applyAlignment="1">
      <alignment wrapText="1"/>
    </xf>
    <xf numFmtId="0" fontId="0" fillId="38" borderId="14" xfId="0" applyFont="1" applyFill="1" applyBorder="1" applyAlignment="1">
      <alignment wrapText="1"/>
    </xf>
    <xf numFmtId="0" fontId="19" fillId="33" borderId="0" xfId="0" applyFont="1" applyFill="1" applyAlignment="1">
      <alignment/>
    </xf>
    <xf numFmtId="0" fontId="5" fillId="33" borderId="0" xfId="0" applyFont="1" applyFill="1" applyAlignment="1">
      <alignment/>
    </xf>
    <xf numFmtId="0" fontId="0" fillId="33" borderId="0" xfId="0" applyFill="1" applyAlignment="1">
      <alignment/>
    </xf>
    <xf numFmtId="0" fontId="20" fillId="33" borderId="20" xfId="51" applyFont="1" applyFill="1" applyBorder="1" applyAlignment="1">
      <alignment horizontal="justify" vertical="center" wrapText="1"/>
      <protection/>
    </xf>
    <xf numFmtId="2" fontId="12" fillId="33" borderId="20" xfId="51" applyNumberFormat="1" applyFont="1" applyFill="1" applyBorder="1" applyAlignment="1">
      <alignment horizontal="center" vertical="center" wrapText="1"/>
      <protection/>
    </xf>
    <xf numFmtId="0" fontId="4" fillId="33" borderId="20" xfId="51" applyFont="1" applyFill="1" applyBorder="1" applyAlignment="1">
      <alignment horizontal="center" vertical="center" wrapText="1"/>
      <protection/>
    </xf>
    <xf numFmtId="0" fontId="12" fillId="33" borderId="20" xfId="51" applyFont="1" applyFill="1" applyBorder="1" applyAlignment="1">
      <alignment horizontal="justify" vertical="center" wrapText="1"/>
      <protection/>
    </xf>
    <xf numFmtId="0" fontId="4" fillId="33" borderId="20" xfId="51" applyFont="1" applyFill="1" applyBorder="1" applyAlignment="1">
      <alignment horizontal="justify" vertical="center" wrapText="1"/>
      <protection/>
    </xf>
    <xf numFmtId="0" fontId="0" fillId="33" borderId="20" xfId="0" applyFont="1" applyFill="1" applyBorder="1" applyAlignment="1">
      <alignment horizontal="center"/>
    </xf>
    <xf numFmtId="0" fontId="3" fillId="33" borderId="0" xfId="0" applyFont="1" applyFill="1" applyAlignment="1">
      <alignment/>
    </xf>
    <xf numFmtId="0" fontId="0" fillId="33" borderId="0" xfId="0" applyFill="1" applyAlignment="1">
      <alignment horizontal="left"/>
    </xf>
    <xf numFmtId="0" fontId="0" fillId="33" borderId="0" xfId="0" applyFont="1" applyFill="1" applyAlignment="1">
      <alignment horizontal="center" vertical="center" wrapText="1"/>
    </xf>
    <xf numFmtId="0" fontId="11" fillId="33" borderId="0" xfId="0" applyFont="1" applyFill="1" applyAlignment="1">
      <alignment wrapText="1"/>
    </xf>
    <xf numFmtId="0" fontId="4" fillId="33" borderId="0" xfId="0" applyFont="1" applyFill="1" applyAlignment="1">
      <alignment/>
    </xf>
    <xf numFmtId="0" fontId="4" fillId="33" borderId="0" xfId="0" applyFont="1" applyFill="1" applyAlignment="1">
      <alignment horizontal="left"/>
    </xf>
    <xf numFmtId="0" fontId="11" fillId="33" borderId="0" xfId="0" applyFont="1" applyFill="1" applyAlignment="1">
      <alignment horizontal="center"/>
    </xf>
    <xf numFmtId="0" fontId="4" fillId="33" borderId="0" xfId="0" applyFont="1" applyFill="1" applyBorder="1" applyAlignment="1">
      <alignment wrapText="1"/>
    </xf>
    <xf numFmtId="14" fontId="0" fillId="33" borderId="0" xfId="0" applyNumberFormat="1" applyFill="1" applyAlignment="1">
      <alignment/>
    </xf>
    <xf numFmtId="43" fontId="0" fillId="33" borderId="0" xfId="0" applyNumberFormat="1" applyFill="1" applyAlignment="1">
      <alignment/>
    </xf>
    <xf numFmtId="0" fontId="14" fillId="33" borderId="0" xfId="0" applyFont="1" applyFill="1" applyAlignment="1">
      <alignment horizontal="center" vertical="center" wrapText="1"/>
    </xf>
    <xf numFmtId="0" fontId="9" fillId="33" borderId="0" xfId="0" applyFont="1" applyFill="1" applyAlignment="1">
      <alignment horizontal="center" vertical="center" wrapText="1"/>
    </xf>
    <xf numFmtId="0" fontId="16" fillId="33" borderId="0" xfId="0" applyFont="1" applyFill="1" applyAlignment="1">
      <alignment horizontal="center" vertical="center" wrapText="1"/>
    </xf>
    <xf numFmtId="0" fontId="0" fillId="33" borderId="0" xfId="0" applyFont="1" applyFill="1" applyAlignment="1">
      <alignment/>
    </xf>
    <xf numFmtId="4" fontId="12" fillId="0" borderId="14" xfId="51" applyNumberFormat="1" applyFont="1" applyFill="1" applyBorder="1" applyAlignment="1">
      <alignment horizontal="center" vertical="center"/>
      <protection/>
    </xf>
    <xf numFmtId="4" fontId="12" fillId="0" borderId="14" xfId="51" applyNumberFormat="1" applyFont="1" applyFill="1" applyBorder="1" applyAlignment="1">
      <alignment horizontal="center" vertical="center" wrapText="1"/>
      <protection/>
    </xf>
    <xf numFmtId="0" fontId="4" fillId="0" borderId="14" xfId="0" applyFont="1" applyFill="1" applyBorder="1" applyAlignment="1">
      <alignment wrapText="1"/>
    </xf>
    <xf numFmtId="0" fontId="4" fillId="0" borderId="24" xfId="0" applyFont="1" applyFill="1" applyBorder="1" applyAlignment="1">
      <alignment/>
    </xf>
    <xf numFmtId="4" fontId="0" fillId="0" borderId="0" xfId="0" applyNumberFormat="1" applyFill="1" applyAlignment="1">
      <alignment/>
    </xf>
    <xf numFmtId="0" fontId="11" fillId="0" borderId="14" xfId="0" applyFont="1" applyFill="1" applyBorder="1" applyAlignment="1">
      <alignment wrapText="1"/>
    </xf>
    <xf numFmtId="0" fontId="11" fillId="0" borderId="24" xfId="0" applyFont="1" applyFill="1" applyBorder="1" applyAlignment="1">
      <alignment/>
    </xf>
    <xf numFmtId="0" fontId="4" fillId="0" borderId="14" xfId="51" applyFont="1" applyFill="1" applyBorder="1" applyAlignment="1">
      <alignment horizontal="center" vertical="center"/>
      <protection/>
    </xf>
    <xf numFmtId="4" fontId="4" fillId="0" borderId="14" xfId="51" applyNumberFormat="1" applyFont="1" applyFill="1" applyBorder="1" applyAlignment="1">
      <alignment horizontal="center" vertical="center"/>
      <protection/>
    </xf>
    <xf numFmtId="0" fontId="4" fillId="0" borderId="14" xfId="51" applyFont="1" applyFill="1" applyBorder="1" applyAlignment="1">
      <alignment horizontal="center" vertical="center" wrapText="1"/>
      <protection/>
    </xf>
    <xf numFmtId="4" fontId="4" fillId="0" borderId="14" xfId="51" applyNumberFormat="1" applyFont="1" applyFill="1" applyBorder="1" applyAlignment="1">
      <alignment horizontal="center" vertical="center" wrapText="1"/>
      <protection/>
    </xf>
    <xf numFmtId="0" fontId="12" fillId="0" borderId="14" xfId="51" applyFont="1" applyFill="1" applyBorder="1" applyAlignment="1">
      <alignment vertical="center" wrapText="1"/>
      <protection/>
    </xf>
    <xf numFmtId="0" fontId="13" fillId="0" borderId="37" xfId="51" applyFont="1" applyFill="1" applyBorder="1" applyAlignment="1">
      <alignment horizontal="center" vertical="center" wrapText="1"/>
      <protection/>
    </xf>
    <xf numFmtId="2" fontId="12" fillId="0" borderId="14" xfId="51" applyNumberFormat="1" applyFont="1" applyFill="1" applyBorder="1" applyAlignment="1">
      <alignment horizontal="center" vertical="center"/>
      <protection/>
    </xf>
    <xf numFmtId="4" fontId="0" fillId="0" borderId="14" xfId="0" applyNumberFormat="1" applyFont="1" applyFill="1" applyBorder="1" applyAlignment="1">
      <alignment/>
    </xf>
    <xf numFmtId="0" fontId="13" fillId="39" borderId="0" xfId="51" applyFont="1" applyFill="1" applyBorder="1" applyAlignment="1">
      <alignment horizontal="center" vertical="center" wrapText="1"/>
      <protection/>
    </xf>
    <xf numFmtId="4" fontId="12" fillId="39" borderId="20" xfId="51" applyNumberFormat="1" applyFont="1" applyFill="1" applyBorder="1" applyAlignment="1">
      <alignment horizontal="center" vertical="center" wrapText="1"/>
      <protection/>
    </xf>
    <xf numFmtId="4" fontId="12" fillId="39" borderId="14" xfId="51" applyNumberFormat="1" applyFont="1" applyFill="1" applyBorder="1" applyAlignment="1">
      <alignment horizontal="center" vertical="center" wrapText="1"/>
      <protection/>
    </xf>
    <xf numFmtId="4" fontId="4" fillId="39" borderId="14" xfId="51" applyNumberFormat="1" applyFont="1" applyFill="1" applyBorder="1" applyAlignment="1">
      <alignment horizontal="center" vertical="center" wrapText="1"/>
      <protection/>
    </xf>
    <xf numFmtId="4" fontId="12" fillId="39" borderId="21" xfId="51" applyNumberFormat="1" applyFont="1" applyFill="1" applyBorder="1" applyAlignment="1">
      <alignment horizontal="center" vertical="center" wrapText="1"/>
      <protection/>
    </xf>
    <xf numFmtId="4" fontId="13" fillId="39" borderId="0" xfId="51" applyNumberFormat="1" applyFont="1" applyFill="1" applyBorder="1" applyAlignment="1">
      <alignment horizontal="justify" vertical="center" wrapText="1"/>
      <protection/>
    </xf>
    <xf numFmtId="0" fontId="12" fillId="39" borderId="20" xfId="51" applyFont="1" applyFill="1" applyBorder="1" applyAlignment="1">
      <alignment horizontal="center" vertical="center" wrapText="1"/>
      <protection/>
    </xf>
    <xf numFmtId="0" fontId="12" fillId="39" borderId="14" xfId="51" applyFont="1" applyFill="1" applyBorder="1" applyAlignment="1">
      <alignment horizontal="center" vertical="center" wrapText="1"/>
      <protection/>
    </xf>
    <xf numFmtId="0" fontId="12" fillId="39" borderId="21" xfId="51" applyFont="1" applyFill="1" applyBorder="1" applyAlignment="1">
      <alignment horizontal="center" vertical="center" wrapText="1"/>
      <protection/>
    </xf>
    <xf numFmtId="2" fontId="13" fillId="39" borderId="0" xfId="51" applyNumberFormat="1" applyFont="1" applyFill="1" applyBorder="1" applyAlignment="1">
      <alignment horizontal="justify" vertical="center" wrapText="1"/>
      <protection/>
    </xf>
    <xf numFmtId="0" fontId="13" fillId="39" borderId="0" xfId="51" applyFont="1" applyFill="1" applyBorder="1" applyAlignment="1">
      <alignment horizontal="justify" vertical="center" wrapText="1"/>
      <protection/>
    </xf>
    <xf numFmtId="0" fontId="13" fillId="39" borderId="46" xfId="51" applyFont="1" applyFill="1" applyBorder="1" applyAlignment="1">
      <alignment horizontal="center" vertical="center" wrapText="1"/>
      <protection/>
    </xf>
    <xf numFmtId="43" fontId="12" fillId="39" borderId="20" xfId="51" applyNumberFormat="1" applyFont="1" applyFill="1" applyBorder="1" applyAlignment="1">
      <alignment horizontal="center" vertical="center" wrapText="1"/>
      <protection/>
    </xf>
    <xf numFmtId="43" fontId="12" fillId="39" borderId="14" xfId="51" applyNumberFormat="1" applyFont="1" applyFill="1" applyBorder="1" applyAlignment="1">
      <alignment horizontal="center" vertical="center" wrapText="1"/>
      <protection/>
    </xf>
    <xf numFmtId="43" fontId="12" fillId="39" borderId="21" xfId="51" applyNumberFormat="1" applyFont="1" applyFill="1" applyBorder="1" applyAlignment="1">
      <alignment horizontal="center" vertical="center" wrapText="1"/>
      <protection/>
    </xf>
    <xf numFmtId="43" fontId="13" fillId="39" borderId="0" xfId="51" applyNumberFormat="1" applyFont="1" applyFill="1" applyBorder="1" applyAlignment="1">
      <alignment horizontal="justify" vertical="center" wrapText="1"/>
      <protection/>
    </xf>
    <xf numFmtId="4" fontId="13" fillId="39" borderId="33" xfId="51" applyNumberFormat="1" applyFont="1" applyFill="1" applyBorder="1" applyAlignment="1">
      <alignment horizontal="justify" vertical="center" wrapText="1"/>
      <protection/>
    </xf>
    <xf numFmtId="0" fontId="13" fillId="39" borderId="49" xfId="51" applyFont="1" applyFill="1" applyBorder="1" applyAlignment="1">
      <alignment horizontal="justify" vertical="center" wrapText="1"/>
      <protection/>
    </xf>
    <xf numFmtId="2" fontId="12" fillId="39" borderId="20" xfId="51" applyNumberFormat="1" applyFont="1" applyFill="1" applyBorder="1" applyAlignment="1">
      <alignment horizontal="center" vertical="center" wrapText="1"/>
      <protection/>
    </xf>
    <xf numFmtId="2" fontId="3" fillId="39" borderId="50" xfId="0" applyNumberFormat="1" applyFont="1" applyFill="1" applyBorder="1" applyAlignment="1">
      <alignment horizontal="center"/>
    </xf>
    <xf numFmtId="2" fontId="12" fillId="39" borderId="21" xfId="51" applyNumberFormat="1" applyFont="1" applyFill="1" applyBorder="1" applyAlignment="1">
      <alignment horizontal="center" vertical="center" wrapText="1"/>
      <protection/>
    </xf>
    <xf numFmtId="2" fontId="3" fillId="39" borderId="48" xfId="0" applyNumberFormat="1" applyFont="1" applyFill="1" applyBorder="1" applyAlignment="1">
      <alignment horizontal="center"/>
    </xf>
    <xf numFmtId="43" fontId="3" fillId="39" borderId="48" xfId="0" applyNumberFormat="1" applyFont="1" applyFill="1" applyBorder="1" applyAlignment="1">
      <alignment horizontal="center" vertical="center"/>
    </xf>
    <xf numFmtId="0" fontId="12" fillId="39" borderId="21" xfId="51" applyFont="1" applyFill="1" applyBorder="1" applyAlignment="1">
      <alignment horizontal="justify" vertical="center" wrapText="1"/>
      <protection/>
    </xf>
    <xf numFmtId="0" fontId="0" fillId="40" borderId="20" xfId="0" applyFill="1" applyBorder="1" applyAlignment="1">
      <alignment/>
    </xf>
    <xf numFmtId="0" fontId="0" fillId="40" borderId="14" xfId="0" applyFill="1" applyBorder="1" applyAlignment="1">
      <alignment/>
    </xf>
    <xf numFmtId="0" fontId="0" fillId="40" borderId="21" xfId="0" applyFill="1" applyBorder="1" applyAlignment="1">
      <alignment/>
    </xf>
    <xf numFmtId="0" fontId="4" fillId="40" borderId="0" xfId="0" applyFont="1" applyFill="1" applyBorder="1" applyAlignment="1">
      <alignment/>
    </xf>
    <xf numFmtId="4" fontId="0" fillId="40" borderId="14" xfId="0" applyNumberFormat="1" applyFill="1" applyBorder="1" applyAlignment="1">
      <alignment/>
    </xf>
    <xf numFmtId="0" fontId="0" fillId="40" borderId="0" xfId="0" applyFill="1" applyAlignment="1">
      <alignment/>
    </xf>
    <xf numFmtId="0" fontId="4" fillId="40" borderId="46" xfId="0" applyFont="1" applyFill="1" applyBorder="1" applyAlignment="1">
      <alignment/>
    </xf>
    <xf numFmtId="4" fontId="4" fillId="40" borderId="0" xfId="0" applyNumberFormat="1" applyFont="1" applyFill="1" applyBorder="1" applyAlignment="1">
      <alignment/>
    </xf>
    <xf numFmtId="2" fontId="0" fillId="40" borderId="20" xfId="0" applyNumberFormat="1" applyFill="1" applyBorder="1" applyAlignment="1">
      <alignment/>
    </xf>
    <xf numFmtId="0" fontId="4" fillId="40" borderId="33" xfId="0" applyFont="1" applyFill="1" applyBorder="1" applyAlignment="1">
      <alignment/>
    </xf>
    <xf numFmtId="0" fontId="4" fillId="40" borderId="49" xfId="0" applyFont="1" applyFill="1" applyBorder="1" applyAlignment="1">
      <alignment/>
    </xf>
    <xf numFmtId="0" fontId="0" fillId="40" borderId="50" xfId="0" applyFill="1" applyBorder="1" applyAlignment="1">
      <alignment/>
    </xf>
    <xf numFmtId="0" fontId="0" fillId="40" borderId="20" xfId="0" applyFont="1" applyFill="1" applyBorder="1" applyAlignment="1">
      <alignment/>
    </xf>
    <xf numFmtId="0" fontId="0" fillId="40" borderId="21" xfId="0" applyFont="1" applyFill="1" applyBorder="1" applyAlignment="1">
      <alignment/>
    </xf>
    <xf numFmtId="0" fontId="0" fillId="40" borderId="48" xfId="0" applyFill="1" applyBorder="1" applyAlignment="1">
      <alignment/>
    </xf>
    <xf numFmtId="0" fontId="3" fillId="40" borderId="48" xfId="0" applyFont="1" applyFill="1" applyBorder="1" applyAlignment="1">
      <alignment horizontal="center" vertical="center"/>
    </xf>
    <xf numFmtId="4" fontId="0" fillId="40" borderId="20" xfId="0" applyNumberFormat="1" applyFill="1" applyBorder="1" applyAlignment="1">
      <alignment/>
    </xf>
    <xf numFmtId="4" fontId="0" fillId="40" borderId="14" xfId="0" applyNumberFormat="1" applyFill="1" applyBorder="1" applyAlignment="1">
      <alignment/>
    </xf>
    <xf numFmtId="4" fontId="0" fillId="40" borderId="21" xfId="0" applyNumberFormat="1" applyFill="1" applyBorder="1" applyAlignment="1">
      <alignment/>
    </xf>
    <xf numFmtId="4" fontId="3" fillId="40" borderId="57" xfId="0" applyNumberFormat="1" applyFont="1" applyFill="1" applyBorder="1" applyAlignment="1">
      <alignment/>
    </xf>
    <xf numFmtId="4" fontId="0" fillId="40" borderId="23" xfId="0" applyNumberFormat="1" applyFill="1" applyBorder="1" applyAlignment="1">
      <alignment/>
    </xf>
    <xf numFmtId="4" fontId="0" fillId="40" borderId="25" xfId="0" applyNumberFormat="1" applyFill="1" applyBorder="1" applyAlignment="1">
      <alignment/>
    </xf>
    <xf numFmtId="4" fontId="3" fillId="40" borderId="58" xfId="0" applyNumberFormat="1" applyFont="1" applyFill="1" applyBorder="1" applyAlignment="1">
      <alignment/>
    </xf>
    <xf numFmtId="4" fontId="0" fillId="40" borderId="20" xfId="0" applyNumberFormat="1" applyFont="1" applyFill="1" applyBorder="1" applyAlignment="1">
      <alignment/>
    </xf>
    <xf numFmtId="4" fontId="0" fillId="40" borderId="14" xfId="0" applyNumberFormat="1" applyFont="1" applyFill="1" applyBorder="1" applyAlignment="1">
      <alignment/>
    </xf>
    <xf numFmtId="4" fontId="0" fillId="40" borderId="21" xfId="0" applyNumberFormat="1" applyFont="1" applyFill="1" applyBorder="1" applyAlignment="1">
      <alignment/>
    </xf>
    <xf numFmtId="4" fontId="3" fillId="40" borderId="35" xfId="0" applyNumberFormat="1" applyFont="1" applyFill="1" applyBorder="1" applyAlignment="1">
      <alignment/>
    </xf>
    <xf numFmtId="4" fontId="3" fillId="40" borderId="21" xfId="0" applyNumberFormat="1" applyFont="1" applyFill="1" applyBorder="1" applyAlignment="1">
      <alignment/>
    </xf>
    <xf numFmtId="4" fontId="3" fillId="40" borderId="59" xfId="0" applyNumberFormat="1" applyFont="1" applyFill="1" applyBorder="1" applyAlignment="1">
      <alignment/>
    </xf>
    <xf numFmtId="4" fontId="3" fillId="40" borderId="60" xfId="0" applyNumberFormat="1" applyFont="1" applyFill="1" applyBorder="1" applyAlignment="1">
      <alignment/>
    </xf>
    <xf numFmtId="4" fontId="3" fillId="40" borderId="48" xfId="0" applyNumberFormat="1" applyFont="1" applyFill="1" applyBorder="1" applyAlignment="1">
      <alignment/>
    </xf>
    <xf numFmtId="4" fontId="3" fillId="40" borderId="61" xfId="0" applyNumberFormat="1" applyFont="1" applyFill="1" applyBorder="1" applyAlignment="1">
      <alignment/>
    </xf>
    <xf numFmtId="4" fontId="0" fillId="38" borderId="40" xfId="0" applyNumberFormat="1" applyFont="1" applyFill="1" applyBorder="1" applyAlignment="1">
      <alignment horizontal="center" wrapText="1"/>
    </xf>
    <xf numFmtId="4" fontId="0" fillId="38" borderId="62" xfId="0" applyNumberFormat="1" applyFont="1" applyFill="1" applyBorder="1" applyAlignment="1">
      <alignment horizontal="center" wrapText="1"/>
    </xf>
    <xf numFmtId="0" fontId="3" fillId="0" borderId="0" xfId="0" applyFont="1" applyAlignment="1">
      <alignment horizontal="justify" wrapText="1"/>
    </xf>
    <xf numFmtId="0" fontId="0" fillId="0" borderId="0" xfId="0" applyFont="1" applyAlignment="1">
      <alignment wrapText="1"/>
    </xf>
    <xf numFmtId="0" fontId="3" fillId="0" borderId="63" xfId="0" applyFont="1" applyBorder="1" applyAlignment="1">
      <alignment vertical="center" wrapText="1"/>
    </xf>
    <xf numFmtId="0" fontId="0"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56" xfId="0" applyFont="1" applyBorder="1" applyAlignment="1">
      <alignment vertical="center" wrapText="1"/>
    </xf>
    <xf numFmtId="0" fontId="3" fillId="0" borderId="22" xfId="0" applyFont="1" applyBorder="1" applyAlignment="1">
      <alignment horizontal="center" wrapText="1"/>
    </xf>
    <xf numFmtId="0" fontId="3" fillId="0" borderId="10" xfId="0" applyFont="1" applyBorder="1" applyAlignment="1">
      <alignment horizontal="center" wrapText="1"/>
    </xf>
    <xf numFmtId="0" fontId="0" fillId="0" borderId="11" xfId="0" applyFont="1" applyBorder="1" applyAlignment="1">
      <alignment horizontal="center" wrapText="1"/>
    </xf>
    <xf numFmtId="4" fontId="0" fillId="38" borderId="14" xfId="0" applyNumberFormat="1" applyFont="1" applyFill="1" applyBorder="1" applyAlignment="1">
      <alignment horizontal="center" wrapText="1"/>
    </xf>
    <xf numFmtId="4" fontId="0" fillId="38" borderId="13" xfId="0" applyNumberFormat="1" applyFont="1" applyFill="1" applyBorder="1" applyAlignment="1">
      <alignment horizontal="center" wrapText="1"/>
    </xf>
    <xf numFmtId="0" fontId="0" fillId="38" borderId="16" xfId="0" applyFont="1" applyFill="1" applyBorder="1" applyAlignment="1">
      <alignment wrapText="1"/>
    </xf>
    <xf numFmtId="0" fontId="0" fillId="38" borderId="14" xfId="0" applyFont="1" applyFill="1" applyBorder="1" applyAlignment="1">
      <alignment wrapText="1"/>
    </xf>
    <xf numFmtId="0" fontId="6" fillId="0" borderId="0" xfId="0" applyFont="1" applyAlignment="1">
      <alignment horizontal="center" wrapText="1"/>
    </xf>
    <xf numFmtId="0" fontId="0" fillId="0" borderId="0" xfId="0" applyAlignment="1">
      <alignment wrapText="1"/>
    </xf>
    <xf numFmtId="0" fontId="3" fillId="0" borderId="63" xfId="0" applyFont="1" applyBorder="1" applyAlignment="1">
      <alignment wrapText="1"/>
    </xf>
    <xf numFmtId="0" fontId="0" fillId="0" borderId="64" xfId="0" applyFont="1" applyBorder="1" applyAlignment="1">
      <alignment wrapText="1"/>
    </xf>
    <xf numFmtId="0" fontId="0" fillId="0" borderId="64" xfId="0" applyFont="1" applyBorder="1" applyAlignment="1">
      <alignment wrapText="1"/>
    </xf>
    <xf numFmtId="0" fontId="0" fillId="0" borderId="67" xfId="0" applyFont="1" applyBorder="1" applyAlignment="1">
      <alignment wrapText="1"/>
    </xf>
    <xf numFmtId="0" fontId="3" fillId="0" borderId="0" xfId="0" applyFont="1" applyAlignment="1">
      <alignment horizontal="center" wrapText="1"/>
    </xf>
    <xf numFmtId="0" fontId="0" fillId="0" borderId="0" xfId="0" applyFont="1" applyAlignment="1">
      <alignment horizontal="center" wrapText="1"/>
    </xf>
    <xf numFmtId="2" fontId="3" fillId="38" borderId="15" xfId="0" applyNumberFormat="1" applyFont="1" applyFill="1" applyBorder="1" applyAlignment="1">
      <alignment horizontal="center" wrapText="1"/>
    </xf>
    <xf numFmtId="2" fontId="3" fillId="38" borderId="12" xfId="0" applyNumberFormat="1" applyFont="1" applyFill="1" applyBorder="1" applyAlignment="1">
      <alignment horizontal="center" wrapText="1"/>
    </xf>
    <xf numFmtId="0" fontId="3" fillId="0" borderId="68" xfId="0" applyFont="1" applyBorder="1" applyAlignment="1">
      <alignment horizontal="center" wrapText="1"/>
    </xf>
    <xf numFmtId="0" fontId="0" fillId="0" borderId="66" xfId="0" applyBorder="1" applyAlignment="1">
      <alignment horizontal="center" wrapText="1"/>
    </xf>
    <xf numFmtId="0" fontId="0" fillId="0" borderId="56" xfId="0" applyBorder="1" applyAlignment="1">
      <alignment horizontal="center" wrapText="1"/>
    </xf>
    <xf numFmtId="0" fontId="0" fillId="0" borderId="69" xfId="0" applyFont="1" applyBorder="1" applyAlignment="1">
      <alignment horizontal="left" vertical="top" wrapText="1"/>
    </xf>
    <xf numFmtId="0" fontId="0" fillId="0" borderId="70" xfId="0" applyFont="1" applyBorder="1" applyAlignment="1">
      <alignment horizontal="left" vertical="top" wrapText="1"/>
    </xf>
    <xf numFmtId="0" fontId="0" fillId="0" borderId="71" xfId="0" applyFont="1" applyBorder="1" applyAlignment="1">
      <alignment horizontal="left" vertical="top" wrapText="1"/>
    </xf>
    <xf numFmtId="0" fontId="0" fillId="0" borderId="72" xfId="0" applyFont="1" applyBorder="1" applyAlignment="1">
      <alignment horizontal="left" vertical="top" wrapText="1"/>
    </xf>
    <xf numFmtId="0" fontId="0" fillId="0" borderId="0" xfId="0" applyFont="1" applyBorder="1" applyAlignment="1">
      <alignment horizontal="left" vertical="top" wrapText="1"/>
    </xf>
    <xf numFmtId="0" fontId="0" fillId="0" borderId="44" xfId="0" applyFont="1" applyBorder="1" applyAlignment="1">
      <alignment horizontal="left" vertical="top" wrapText="1"/>
    </xf>
    <xf numFmtId="0" fontId="0" fillId="0" borderId="73" xfId="0" applyFont="1" applyBorder="1" applyAlignment="1">
      <alignment horizontal="left" vertical="top" wrapText="1"/>
    </xf>
    <xf numFmtId="0" fontId="0" fillId="0" borderId="74" xfId="0" applyFont="1" applyBorder="1" applyAlignment="1">
      <alignment horizontal="left" vertical="top" wrapText="1"/>
    </xf>
    <xf numFmtId="0" fontId="0" fillId="0" borderId="75" xfId="0" applyFont="1" applyBorder="1" applyAlignment="1">
      <alignment horizontal="left" vertical="top" wrapText="1"/>
    </xf>
    <xf numFmtId="0" fontId="3" fillId="0" borderId="76" xfId="0" applyFont="1" applyBorder="1" applyAlignment="1">
      <alignment wrapText="1"/>
    </xf>
    <xf numFmtId="0" fontId="3" fillId="0" borderId="15" xfId="0" applyFont="1" applyBorder="1" applyAlignment="1">
      <alignment wrapText="1"/>
    </xf>
    <xf numFmtId="0" fontId="3" fillId="0" borderId="0" xfId="0" applyFont="1" applyBorder="1" applyAlignment="1">
      <alignment horizontal="left" wrapText="1"/>
    </xf>
    <xf numFmtId="0" fontId="0" fillId="0" borderId="0" xfId="0" applyFont="1" applyBorder="1" applyAlignment="1">
      <alignment horizontal="left" wrapText="1"/>
    </xf>
    <xf numFmtId="0" fontId="0" fillId="0" borderId="14" xfId="0" applyBorder="1" applyAlignment="1">
      <alignment wrapText="1"/>
    </xf>
    <xf numFmtId="0" fontId="3" fillId="0" borderId="74" xfId="0" applyFont="1" applyBorder="1" applyAlignment="1">
      <alignment horizontal="left" wrapText="1"/>
    </xf>
    <xf numFmtId="0" fontId="0" fillId="0" borderId="74" xfId="0" applyBorder="1" applyAlignment="1">
      <alignment horizontal="left"/>
    </xf>
    <xf numFmtId="0" fontId="0" fillId="0" borderId="0" xfId="0" applyBorder="1" applyAlignment="1">
      <alignment horizontal="left"/>
    </xf>
    <xf numFmtId="0" fontId="3" fillId="0" borderId="77" xfId="0" applyFont="1" applyBorder="1" applyAlignment="1">
      <alignment horizontal="center" wrapText="1"/>
    </xf>
    <xf numFmtId="0" fontId="0" fillId="0" borderId="78" xfId="0" applyBorder="1" applyAlignment="1">
      <alignment horizontal="center" wrapText="1"/>
    </xf>
    <xf numFmtId="0" fontId="0" fillId="0" borderId="16" xfId="0" applyBorder="1" applyAlignment="1">
      <alignment wrapText="1"/>
    </xf>
    <xf numFmtId="4" fontId="9"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wrapText="1"/>
    </xf>
    <xf numFmtId="164" fontId="9" fillId="32" borderId="79" xfId="0" applyNumberFormat="1" applyFont="1" applyFill="1" applyBorder="1" applyAlignment="1">
      <alignment horizontal="center" vertical="center" wrapText="1"/>
    </xf>
    <xf numFmtId="164" fontId="9" fillId="32" borderId="45" xfId="0" applyNumberFormat="1" applyFont="1" applyFill="1" applyBorder="1" applyAlignment="1">
      <alignment horizontal="center" vertical="center" wrapText="1"/>
    </xf>
    <xf numFmtId="164" fontId="9" fillId="32" borderId="45" xfId="0" applyNumberFormat="1" applyFont="1" applyFill="1" applyBorder="1" applyAlignment="1">
      <alignment horizontal="center" wrapText="1"/>
    </xf>
    <xf numFmtId="0" fontId="0" fillId="0" borderId="80" xfId="0" applyBorder="1" applyAlignment="1">
      <alignment horizontal="center" wrapText="1"/>
    </xf>
    <xf numFmtId="0" fontId="3" fillId="0" borderId="0" xfId="0" applyFont="1" applyAlignment="1">
      <alignment wrapText="1"/>
    </xf>
    <xf numFmtId="0" fontId="13" fillId="36" borderId="40" xfId="51" applyFont="1" applyFill="1" applyBorder="1" applyAlignment="1">
      <alignment horizontal="center" vertical="center" wrapText="1"/>
      <protection/>
    </xf>
    <xf numFmtId="0" fontId="13" fillId="36" borderId="41" xfId="51" applyFont="1" applyFill="1" applyBorder="1" applyAlignment="1">
      <alignment horizontal="center" vertical="center" wrapText="1"/>
      <protection/>
    </xf>
    <xf numFmtId="2" fontId="13" fillId="36" borderId="28" xfId="51" applyNumberFormat="1" applyFont="1" applyFill="1" applyBorder="1" applyAlignment="1">
      <alignment horizontal="center" vertical="center" wrapText="1"/>
      <protection/>
    </xf>
    <xf numFmtId="2" fontId="13" fillId="36" borderId="42" xfId="51" applyNumberFormat="1" applyFont="1" applyFill="1" applyBorder="1" applyAlignment="1">
      <alignment horizontal="center" vertical="center" wrapText="1"/>
      <protection/>
    </xf>
    <xf numFmtId="0" fontId="13" fillId="0" borderId="81" xfId="51" applyFont="1" applyBorder="1" applyAlignment="1">
      <alignment horizontal="justify" vertical="center" wrapText="1"/>
      <protection/>
    </xf>
    <xf numFmtId="0" fontId="12" fillId="33" borderId="38" xfId="51" applyFont="1" applyFill="1" applyBorder="1" applyAlignment="1">
      <alignment horizontal="left" vertical="center" wrapText="1"/>
      <protection/>
    </xf>
    <xf numFmtId="0" fontId="12" fillId="33" borderId="39" xfId="51" applyFont="1" applyFill="1" applyBorder="1" applyAlignment="1">
      <alignment horizontal="left" vertical="center" wrapText="1"/>
      <protection/>
    </xf>
    <xf numFmtId="0" fontId="12" fillId="0" borderId="40" xfId="51" applyFont="1" applyFill="1" applyBorder="1" applyAlignment="1">
      <alignment horizontal="left" vertical="center" wrapText="1"/>
      <protection/>
    </xf>
    <xf numFmtId="0" fontId="12" fillId="0" borderId="41" xfId="51" applyFont="1" applyFill="1" applyBorder="1" applyAlignment="1">
      <alignment horizontal="left" vertical="center" wrapText="1"/>
      <protection/>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28" xfId="0" applyBorder="1" applyAlignment="1">
      <alignment horizontal="left" vertical="center" wrapText="1"/>
    </xf>
    <xf numFmtId="0" fontId="0" fillId="0" borderId="42" xfId="0" applyBorder="1" applyAlignment="1">
      <alignment horizontal="left" vertical="center" wrapText="1"/>
    </xf>
    <xf numFmtId="0" fontId="12" fillId="0" borderId="38" xfId="51" applyFont="1" applyBorder="1" applyAlignment="1">
      <alignment horizontal="left" vertical="center" wrapText="1"/>
      <protection/>
    </xf>
    <xf numFmtId="0" fontId="12" fillId="0" borderId="39" xfId="51" applyFont="1" applyBorder="1" applyAlignment="1">
      <alignment horizontal="left" vertical="center" wrapText="1"/>
      <protection/>
    </xf>
    <xf numFmtId="0" fontId="12" fillId="0" borderId="40" xfId="51" applyFont="1" applyBorder="1" applyAlignment="1">
      <alignment horizontal="left" vertical="center" wrapText="1"/>
      <protection/>
    </xf>
    <xf numFmtId="0" fontId="12" fillId="0" borderId="41" xfId="51" applyFont="1" applyBorder="1" applyAlignment="1">
      <alignment horizontal="left" vertical="center" wrapText="1"/>
      <protection/>
    </xf>
    <xf numFmtId="0" fontId="12" fillId="33" borderId="40" xfId="51" applyFont="1" applyFill="1" applyBorder="1" applyAlignment="1">
      <alignment horizontal="left" vertical="center" wrapText="1"/>
      <protection/>
    </xf>
    <xf numFmtId="0" fontId="12" fillId="33" borderId="41" xfId="51" applyFont="1" applyFill="1" applyBorder="1" applyAlignment="1">
      <alignment horizontal="left" vertical="center" wrapText="1"/>
      <protection/>
    </xf>
    <xf numFmtId="0" fontId="0" fillId="33" borderId="20" xfId="0" applyFont="1" applyFill="1" applyBorder="1" applyAlignment="1">
      <alignment wrapText="1"/>
    </xf>
    <xf numFmtId="0" fontId="0" fillId="33" borderId="20" xfId="0" applyFill="1" applyBorder="1" applyAlignment="1">
      <alignment wrapText="1"/>
    </xf>
    <xf numFmtId="0" fontId="13" fillId="33" borderId="36" xfId="51" applyFont="1" applyFill="1" applyBorder="1" applyAlignment="1">
      <alignment horizontal="justify" vertical="center" wrapText="1"/>
      <protection/>
    </xf>
    <xf numFmtId="0" fontId="0" fillId="0" borderId="27" xfId="0" applyBorder="1" applyAlignment="1">
      <alignment horizontal="justify" vertical="center" wrapText="1"/>
    </xf>
    <xf numFmtId="0" fontId="13" fillId="33" borderId="81" xfId="51" applyFont="1" applyFill="1" applyBorder="1" applyAlignment="1">
      <alignment horizontal="justify" vertical="center" wrapText="1"/>
      <protection/>
    </xf>
    <xf numFmtId="0" fontId="0" fillId="0" borderId="81" xfId="0" applyBorder="1" applyAlignment="1">
      <alignment/>
    </xf>
    <xf numFmtId="0" fontId="13" fillId="0" borderId="82" xfId="51" applyFont="1" applyBorder="1" applyAlignment="1">
      <alignment horizontal="justify" vertical="center" wrapText="1"/>
      <protection/>
    </xf>
    <xf numFmtId="0" fontId="0" fillId="0" borderId="81" xfId="0" applyBorder="1" applyAlignment="1">
      <alignment horizontal="justify" vertical="center" wrapText="1"/>
    </xf>
    <xf numFmtId="0" fontId="0" fillId="0" borderId="52" xfId="0" applyBorder="1" applyAlignment="1">
      <alignment horizontal="justify" vertical="center" wrapText="1"/>
    </xf>
    <xf numFmtId="0" fontId="13" fillId="33" borderId="36" xfId="51" applyFont="1" applyFill="1" applyBorder="1" applyAlignment="1">
      <alignment horizontal="center" vertical="center" wrapText="1"/>
      <protection/>
    </xf>
    <xf numFmtId="0" fontId="13" fillId="33" borderId="37" xfId="51" applyFont="1" applyFill="1" applyBorder="1" applyAlignment="1">
      <alignment horizontal="center" vertical="center" wrapText="1"/>
      <protection/>
    </xf>
    <xf numFmtId="0" fontId="0" fillId="0" borderId="37" xfId="0" applyBorder="1" applyAlignment="1">
      <alignment horizontal="center" vertical="center" wrapText="1"/>
    </xf>
    <xf numFmtId="0" fontId="0" fillId="0" borderId="27" xfId="0" applyBorder="1" applyAlignment="1">
      <alignment horizontal="center" vertical="center" wrapText="1"/>
    </xf>
    <xf numFmtId="0" fontId="13" fillId="33" borderId="28" xfId="51" applyFont="1" applyFill="1" applyBorder="1" applyAlignment="1">
      <alignment horizontal="left" vertical="center" wrapText="1"/>
      <protection/>
    </xf>
    <xf numFmtId="0" fontId="13" fillId="33" borderId="42" xfId="51" applyFont="1" applyFill="1" applyBorder="1" applyAlignment="1">
      <alignment horizontal="left" vertical="center" wrapText="1"/>
      <protection/>
    </xf>
    <xf numFmtId="0" fontId="12" fillId="0" borderId="40" xfId="51" applyFont="1" applyBorder="1" applyAlignment="1">
      <alignment vertical="center" wrapText="1"/>
      <protection/>
    </xf>
    <xf numFmtId="0" fontId="0" fillId="0" borderId="41" xfId="0" applyBorder="1" applyAlignment="1">
      <alignment vertical="center" wrapText="1"/>
    </xf>
    <xf numFmtId="0" fontId="13" fillId="33" borderId="83" xfId="51" applyFont="1" applyFill="1" applyBorder="1" applyAlignment="1">
      <alignment horizontal="center" vertical="center" wrapText="1"/>
      <protection/>
    </xf>
    <xf numFmtId="0" fontId="13" fillId="33" borderId="43" xfId="51" applyFont="1" applyFill="1" applyBorder="1" applyAlignment="1">
      <alignment horizontal="center" vertical="center" wrapText="1"/>
      <protection/>
    </xf>
    <xf numFmtId="0" fontId="13" fillId="33" borderId="27" xfId="51" applyFont="1" applyFill="1" applyBorder="1" applyAlignment="1">
      <alignment horizontal="center" vertical="center" wrapText="1"/>
      <protection/>
    </xf>
    <xf numFmtId="0" fontId="13" fillId="0" borderId="40" xfId="51" applyFont="1" applyBorder="1" applyAlignment="1">
      <alignment horizontal="left" vertical="center" wrapText="1"/>
      <protection/>
    </xf>
    <xf numFmtId="0" fontId="13" fillId="0" borderId="41" xfId="51" applyFont="1" applyBorder="1" applyAlignment="1">
      <alignment horizontal="left" vertical="center" wrapText="1"/>
      <protection/>
    </xf>
    <xf numFmtId="0" fontId="13" fillId="36" borderId="38" xfId="51" applyFont="1" applyFill="1" applyBorder="1" applyAlignment="1">
      <alignment horizontal="center" vertical="center" wrapText="1"/>
      <protection/>
    </xf>
    <xf numFmtId="0" fontId="13" fillId="36" borderId="84" xfId="51" applyFont="1" applyFill="1" applyBorder="1" applyAlignment="1">
      <alignment horizontal="center" vertical="center" wrapText="1"/>
      <protection/>
    </xf>
    <xf numFmtId="0" fontId="13" fillId="36" borderId="39" xfId="51" applyFont="1" applyFill="1" applyBorder="1" applyAlignment="1">
      <alignment horizontal="center" vertical="center" wrapText="1"/>
      <protection/>
    </xf>
    <xf numFmtId="0" fontId="3" fillId="36" borderId="23" xfId="0" applyFont="1" applyFill="1" applyBorder="1" applyAlignment="1">
      <alignment horizontal="center" vertical="center" wrapText="1"/>
    </xf>
    <xf numFmtId="0" fontId="3" fillId="36" borderId="24" xfId="0" applyFont="1" applyFill="1" applyBorder="1" applyAlignment="1">
      <alignment horizontal="center" vertical="center" wrapText="1"/>
    </xf>
    <xf numFmtId="0" fontId="3" fillId="36" borderId="25" xfId="0" applyFont="1" applyFill="1" applyBorder="1" applyAlignment="1">
      <alignment horizontal="center" vertical="center" wrapText="1"/>
    </xf>
    <xf numFmtId="0" fontId="13" fillId="36" borderId="53" xfId="51" applyFont="1" applyFill="1" applyBorder="1" applyAlignment="1">
      <alignment vertical="center" wrapText="1"/>
      <protection/>
    </xf>
    <xf numFmtId="0" fontId="13" fillId="36" borderId="33" xfId="51" applyFont="1" applyFill="1" applyBorder="1" applyAlignment="1">
      <alignment vertical="center" wrapText="1"/>
      <protection/>
    </xf>
    <xf numFmtId="0" fontId="13" fillId="36" borderId="49" xfId="51" applyFont="1" applyFill="1" applyBorder="1" applyAlignment="1">
      <alignment vertical="center" wrapText="1"/>
      <protection/>
    </xf>
    <xf numFmtId="0" fontId="13" fillId="36" borderId="53" xfId="51" applyFont="1" applyFill="1" applyBorder="1" applyAlignment="1">
      <alignment horizontal="center" vertical="center" wrapText="1"/>
      <protection/>
    </xf>
    <xf numFmtId="0" fontId="13" fillId="36" borderId="33" xfId="51" applyFont="1" applyFill="1" applyBorder="1" applyAlignment="1">
      <alignment horizontal="center" vertical="center" wrapText="1"/>
      <protection/>
    </xf>
    <xf numFmtId="0" fontId="13" fillId="36" borderId="49" xfId="51" applyFont="1" applyFill="1" applyBorder="1" applyAlignment="1">
      <alignment horizontal="center" vertical="center" wrapText="1"/>
      <protection/>
    </xf>
    <xf numFmtId="0" fontId="13" fillId="36" borderId="36" xfId="51" applyFont="1" applyFill="1" applyBorder="1" applyAlignment="1">
      <alignment horizontal="center" vertical="center"/>
      <protection/>
    </xf>
    <xf numFmtId="0" fontId="13" fillId="36" borderId="84" xfId="51" applyFont="1" applyFill="1" applyBorder="1" applyAlignment="1">
      <alignment horizontal="center" vertical="center"/>
      <protection/>
    </xf>
    <xf numFmtId="0" fontId="13" fillId="36" borderId="38" xfId="51" applyFont="1" applyFill="1" applyBorder="1" applyAlignment="1">
      <alignment horizontal="center" vertical="center"/>
      <protection/>
    </xf>
    <xf numFmtId="0" fontId="13" fillId="36" borderId="37" xfId="51" applyFont="1" applyFill="1" applyBorder="1" applyAlignment="1">
      <alignment horizontal="center" vertical="center"/>
      <protection/>
    </xf>
    <xf numFmtId="0" fontId="13" fillId="36" borderId="85" xfId="51" applyFont="1" applyFill="1" applyBorder="1" applyAlignment="1">
      <alignment horizontal="center" vertical="center"/>
      <protection/>
    </xf>
    <xf numFmtId="0" fontId="13" fillId="36" borderId="40" xfId="51" applyFont="1" applyFill="1" applyBorder="1" applyAlignment="1">
      <alignment horizontal="center" vertical="center"/>
      <protection/>
    </xf>
    <xf numFmtId="0" fontId="13" fillId="36" borderId="30" xfId="51" applyFont="1" applyFill="1" applyBorder="1" applyAlignment="1">
      <alignment horizontal="center" vertical="center" wrapText="1"/>
      <protection/>
    </xf>
    <xf numFmtId="0" fontId="13" fillId="33" borderId="86" xfId="51" applyFont="1" applyFill="1" applyBorder="1" applyAlignment="1">
      <alignment horizontal="center" vertical="center" wrapText="1"/>
      <protection/>
    </xf>
    <xf numFmtId="0" fontId="13" fillId="0" borderId="87" xfId="51" applyFont="1" applyBorder="1" applyAlignment="1">
      <alignment horizontal="justify" vertical="center" wrapText="1"/>
      <protection/>
    </xf>
    <xf numFmtId="0" fontId="0" fillId="0" borderId="50" xfId="0" applyBorder="1" applyAlignment="1">
      <alignment/>
    </xf>
    <xf numFmtId="0" fontId="12" fillId="0" borderId="40" xfId="51" applyFont="1" applyFill="1" applyBorder="1" applyAlignment="1">
      <alignment vertical="center" wrapText="1"/>
      <protection/>
    </xf>
    <xf numFmtId="0" fontId="0" fillId="0" borderId="41" xfId="0" applyFill="1" applyBorder="1" applyAlignment="1">
      <alignment vertical="center" wrapText="1"/>
    </xf>
    <xf numFmtId="0" fontId="12" fillId="0" borderId="41" xfId="51" applyFont="1" applyFill="1" applyBorder="1" applyAlignment="1">
      <alignment vertical="center" wrapText="1"/>
      <protection/>
    </xf>
    <xf numFmtId="0" fontId="0" fillId="0" borderId="36" xfId="0" applyBorder="1" applyAlignment="1">
      <alignment vertical="center" wrapText="1"/>
    </xf>
    <xf numFmtId="0" fontId="0" fillId="0" borderId="37" xfId="0" applyBorder="1" applyAlignment="1">
      <alignment vertical="center" wrapText="1"/>
    </xf>
    <xf numFmtId="0" fontId="0" fillId="0" borderId="43" xfId="0" applyBorder="1" applyAlignment="1">
      <alignment vertical="center" wrapText="1"/>
    </xf>
    <xf numFmtId="0" fontId="0" fillId="0" borderId="27" xfId="0" applyBorder="1" applyAlignment="1">
      <alignment vertical="center" wrapText="1"/>
    </xf>
    <xf numFmtId="0" fontId="13" fillId="0" borderId="36" xfId="51" applyFont="1" applyBorder="1" applyAlignment="1">
      <alignment horizontal="justify" vertical="center" wrapText="1"/>
      <protection/>
    </xf>
    <xf numFmtId="0" fontId="13" fillId="0" borderId="43" xfId="51" applyFont="1" applyBorder="1" applyAlignment="1">
      <alignment horizontal="justify" vertical="center" wrapText="1"/>
      <protection/>
    </xf>
    <xf numFmtId="0" fontId="13" fillId="33" borderId="38" xfId="51" applyFont="1" applyFill="1" applyBorder="1" applyAlignment="1">
      <alignment horizontal="left" vertical="center" wrapText="1"/>
      <protection/>
    </xf>
    <xf numFmtId="0" fontId="13" fillId="33" borderId="39" xfId="51" applyFont="1" applyFill="1" applyBorder="1" applyAlignment="1">
      <alignment horizontal="left" vertical="center" wrapText="1"/>
      <protection/>
    </xf>
    <xf numFmtId="0" fontId="13" fillId="33" borderId="40" xfId="51" applyFont="1" applyFill="1" applyBorder="1" applyAlignment="1">
      <alignment horizontal="left" vertical="center" wrapText="1"/>
      <protection/>
    </xf>
    <xf numFmtId="0" fontId="13" fillId="33" borderId="41" xfId="51" applyFont="1" applyFill="1" applyBorder="1" applyAlignment="1">
      <alignment horizontal="left" vertical="center" wrapText="1"/>
      <protection/>
    </xf>
    <xf numFmtId="0" fontId="12" fillId="0" borderId="38" xfId="51" applyFont="1" applyFill="1" applyBorder="1" applyAlignment="1">
      <alignment horizontal="left" vertical="center" wrapText="1"/>
      <protection/>
    </xf>
    <xf numFmtId="0" fontId="12" fillId="0" borderId="39" xfId="51" applyFont="1" applyFill="1" applyBorder="1" applyAlignment="1">
      <alignment horizontal="left" vertical="center" wrapText="1"/>
      <protection/>
    </xf>
    <xf numFmtId="0" fontId="13" fillId="0" borderId="88" xfId="51" applyFont="1" applyBorder="1" applyAlignment="1">
      <alignment horizontal="justify" vertical="center" wrapText="1"/>
      <protection/>
    </xf>
    <xf numFmtId="0" fontId="0" fillId="0" borderId="34" xfId="0" applyBorder="1" applyAlignment="1">
      <alignment horizontal="justify" vertical="center" wrapText="1"/>
    </xf>
    <xf numFmtId="0" fontId="12" fillId="33" borderId="28" xfId="51" applyFont="1" applyFill="1" applyBorder="1" applyAlignment="1">
      <alignment horizontal="left" vertical="center" wrapText="1"/>
      <protection/>
    </xf>
    <xf numFmtId="0" fontId="12" fillId="33" borderId="42" xfId="51" applyFont="1" applyFill="1" applyBorder="1" applyAlignment="1">
      <alignment horizontal="left" vertical="center" wrapText="1"/>
      <protection/>
    </xf>
    <xf numFmtId="0" fontId="13" fillId="0" borderId="46" xfId="51" applyFont="1" applyBorder="1" applyAlignment="1">
      <alignment horizontal="justify" vertical="center" wrapText="1"/>
      <protection/>
    </xf>
    <xf numFmtId="0" fontId="0" fillId="0" borderId="46" xfId="0" applyBorder="1" applyAlignment="1">
      <alignment horizontal="justify" vertical="center" wrapText="1"/>
    </xf>
    <xf numFmtId="0" fontId="12" fillId="33" borderId="20" xfId="51" applyFont="1" applyFill="1" applyBorder="1" applyAlignment="1">
      <alignment horizontal="left" vertical="center" wrapText="1"/>
      <protection/>
    </xf>
    <xf numFmtId="0" fontId="12" fillId="33" borderId="14" xfId="51" applyFont="1" applyFill="1" applyBorder="1" applyAlignment="1">
      <alignment horizontal="left" vertical="center" wrapText="1"/>
      <protection/>
    </xf>
    <xf numFmtId="0" fontId="13" fillId="33" borderId="21" xfId="51" applyFont="1" applyFill="1" applyBorder="1" applyAlignment="1">
      <alignment horizontal="left" vertical="center" wrapText="1"/>
      <protection/>
    </xf>
    <xf numFmtId="0" fontId="27" fillId="0" borderId="40" xfId="0" applyFont="1" applyFill="1" applyBorder="1" applyAlignment="1">
      <alignment wrapText="1"/>
    </xf>
    <xf numFmtId="0" fontId="0" fillId="0" borderId="89" xfId="0" applyFill="1" applyBorder="1" applyAlignment="1">
      <alignment/>
    </xf>
    <xf numFmtId="0" fontId="13" fillId="36" borderId="27" xfId="51" applyFont="1" applyFill="1" applyBorder="1" applyAlignment="1">
      <alignment horizontal="center" vertical="center"/>
      <protection/>
    </xf>
    <xf numFmtId="0" fontId="3" fillId="36" borderId="53" xfId="0" applyFont="1" applyFill="1" applyBorder="1" applyAlignment="1">
      <alignment horizontal="center" vertical="center" wrapText="1"/>
    </xf>
    <xf numFmtId="0" fontId="3" fillId="36" borderId="33" xfId="0" applyFont="1" applyFill="1" applyBorder="1" applyAlignment="1">
      <alignment horizontal="center" vertical="center" wrapText="1"/>
    </xf>
    <xf numFmtId="0" fontId="3" fillId="36" borderId="49" xfId="0" applyFont="1" applyFill="1" applyBorder="1" applyAlignment="1">
      <alignment horizontal="center" vertical="center" wrapText="1"/>
    </xf>
    <xf numFmtId="0" fontId="13" fillId="0" borderId="28" xfId="51" applyFont="1" applyBorder="1" applyAlignment="1">
      <alignment horizontal="left" vertical="center" wrapText="1"/>
      <protection/>
    </xf>
    <xf numFmtId="0" fontId="13" fillId="0" borderId="42" xfId="51" applyFont="1" applyBorder="1" applyAlignment="1">
      <alignment horizontal="left" vertical="center" wrapText="1"/>
      <protection/>
    </xf>
    <xf numFmtId="0" fontId="13" fillId="0" borderId="36" xfId="51" applyFont="1" applyBorder="1" applyAlignment="1">
      <alignment horizontal="center" vertical="center" wrapText="1"/>
      <protection/>
    </xf>
    <xf numFmtId="0" fontId="13" fillId="0" borderId="37" xfId="51" applyFont="1" applyBorder="1" applyAlignment="1">
      <alignment horizontal="center" vertical="center" wrapText="1"/>
      <protection/>
    </xf>
    <xf numFmtId="0" fontId="13" fillId="0" borderId="43" xfId="51" applyFont="1" applyBorder="1" applyAlignment="1">
      <alignment horizontal="center" vertical="center" wrapText="1"/>
      <protection/>
    </xf>
    <xf numFmtId="0" fontId="13" fillId="0" borderId="27" xfId="51" applyFont="1" applyBorder="1" applyAlignment="1">
      <alignment horizontal="center" vertical="center" wrapText="1"/>
      <protection/>
    </xf>
    <xf numFmtId="0" fontId="12" fillId="33" borderId="38" xfId="51" applyFont="1" applyFill="1" applyBorder="1" applyAlignment="1">
      <alignment vertical="center" wrapText="1"/>
      <protection/>
    </xf>
    <xf numFmtId="0" fontId="0" fillId="33" borderId="39" xfId="0" applyFill="1" applyBorder="1" applyAlignment="1">
      <alignment vertical="center" wrapText="1"/>
    </xf>
    <xf numFmtId="0" fontId="12" fillId="0" borderId="40" xfId="51" applyFont="1" applyFill="1" applyBorder="1" applyAlignment="1">
      <alignment horizontal="center" vertical="center" wrapText="1"/>
      <protection/>
    </xf>
    <xf numFmtId="0" fontId="12" fillId="0" borderId="41" xfId="51" applyFont="1" applyFill="1" applyBorder="1" applyAlignment="1">
      <alignment horizontal="center" vertical="center" wrapText="1"/>
      <protection/>
    </xf>
    <xf numFmtId="0" fontId="27" fillId="33" borderId="54" xfId="0" applyFont="1" applyFill="1" applyBorder="1" applyAlignment="1">
      <alignment wrapText="1"/>
    </xf>
    <xf numFmtId="0" fontId="28" fillId="33" borderId="51" xfId="0" applyFont="1" applyFill="1" applyBorder="1" applyAlignment="1">
      <alignment wrapText="1"/>
    </xf>
    <xf numFmtId="0" fontId="3" fillId="0" borderId="90" xfId="0" applyFont="1" applyBorder="1" applyAlignment="1">
      <alignment horizontal="center" vertical="center"/>
    </xf>
    <xf numFmtId="0" fontId="3" fillId="0" borderId="81" xfId="0" applyFont="1" applyBorder="1" applyAlignment="1">
      <alignment horizontal="center" vertical="center"/>
    </xf>
    <xf numFmtId="0" fontId="3" fillId="0" borderId="52" xfId="0" applyFont="1" applyBorder="1" applyAlignment="1">
      <alignment horizontal="center" vertical="center"/>
    </xf>
    <xf numFmtId="0" fontId="0" fillId="0" borderId="41" xfId="0" applyBorder="1" applyAlignment="1">
      <alignment horizontal="center" vertical="center" wrapText="1"/>
    </xf>
    <xf numFmtId="0" fontId="25" fillId="0" borderId="91" xfId="0" applyFont="1" applyBorder="1" applyAlignment="1">
      <alignment wrapText="1"/>
    </xf>
    <xf numFmtId="0" fontId="25" fillId="0" borderId="92" xfId="0" applyFont="1" applyBorder="1" applyAlignment="1">
      <alignment wrapText="1"/>
    </xf>
    <xf numFmtId="3" fontId="26" fillId="0" borderId="91" xfId="0" applyNumberFormat="1" applyFont="1" applyBorder="1" applyAlignment="1">
      <alignment horizontal="center" wrapText="1"/>
    </xf>
    <xf numFmtId="3" fontId="26" fillId="0" borderId="92" xfId="0" applyNumberFormat="1" applyFont="1" applyBorder="1" applyAlignment="1">
      <alignment horizontal="center" wrapText="1"/>
    </xf>
    <xf numFmtId="0" fontId="21" fillId="0" borderId="91" xfId="0" applyFont="1" applyBorder="1" applyAlignment="1">
      <alignment horizontal="justify" wrapText="1"/>
    </xf>
    <xf numFmtId="0" fontId="21" fillId="0" borderId="92" xfId="0" applyFont="1" applyBorder="1" applyAlignment="1">
      <alignment horizontal="justify"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18" fillId="0" borderId="0" xfId="0" applyFont="1" applyAlignment="1">
      <alignment horizontal="center" vertical="center" wrapText="1"/>
    </xf>
    <xf numFmtId="0" fontId="3" fillId="0" borderId="0" xfId="0" applyFont="1" applyAlignment="1">
      <alignment vertical="center" wrapText="1"/>
    </xf>
    <xf numFmtId="4" fontId="0" fillId="0" borderId="0" xfId="0" applyNumberFormat="1" applyFont="1" applyAlignment="1">
      <alignment horizontal="center"/>
    </xf>
    <xf numFmtId="0" fontId="0" fillId="0" borderId="0" xfId="0" applyAlignment="1">
      <alignment horizontal="center"/>
    </xf>
    <xf numFmtId="0" fontId="12" fillId="0" borderId="0" xfId="51" applyFont="1" applyFill="1" applyBorder="1" applyAlignment="1">
      <alignment horizontal="justify" vertical="center" wrapText="1"/>
      <protection/>
    </xf>
    <xf numFmtId="0" fontId="0" fillId="0" borderId="0" xfId="0" applyFill="1" applyAlignment="1">
      <alignment vertical="center" wrapText="1"/>
    </xf>
    <xf numFmtId="0" fontId="0" fillId="0" borderId="0" xfId="0" applyFont="1" applyAlignment="1">
      <alignment horizontal="center" vertical="center" wrapText="1"/>
    </xf>
    <xf numFmtId="0" fontId="0" fillId="0" borderId="0" xfId="0" applyAlignment="1">
      <alignment/>
    </xf>
    <xf numFmtId="0" fontId="0" fillId="0" borderId="0" xfId="0" applyFont="1" applyAlignment="1">
      <alignment wrapText="1"/>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3" xfId="51"/>
    <cellStyle name="Nota" xfId="52"/>
    <cellStyle name="Percent"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32</xdr:row>
      <xdr:rowOff>47625</xdr:rowOff>
    </xdr:from>
    <xdr:to>
      <xdr:col>4</xdr:col>
      <xdr:colOff>1724025</xdr:colOff>
      <xdr:row>32</xdr:row>
      <xdr:rowOff>3695700</xdr:rowOff>
    </xdr:to>
    <xdr:pic>
      <xdr:nvPicPr>
        <xdr:cNvPr id="1" name="Imagem 7"/>
        <xdr:cNvPicPr preferRelativeResize="1">
          <a:picLocks noChangeAspect="1"/>
        </xdr:cNvPicPr>
      </xdr:nvPicPr>
      <xdr:blipFill>
        <a:blip r:embed="rId1"/>
        <a:stretch>
          <a:fillRect/>
        </a:stretch>
      </xdr:blipFill>
      <xdr:spPr>
        <a:xfrm>
          <a:off x="66675" y="7715250"/>
          <a:ext cx="4924425" cy="3657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142875</xdr:colOff>
      <xdr:row>15</xdr:row>
      <xdr:rowOff>0</xdr:rowOff>
    </xdr:to>
    <xdr:pic>
      <xdr:nvPicPr>
        <xdr:cNvPr id="1" name="Picture 1" descr="BD15057_"/>
        <xdr:cNvPicPr preferRelativeResize="1">
          <a:picLocks noChangeAspect="1"/>
        </xdr:cNvPicPr>
      </xdr:nvPicPr>
      <xdr:blipFill>
        <a:blip r:embed="rId1"/>
        <a:stretch>
          <a:fillRect/>
        </a:stretch>
      </xdr:blipFill>
      <xdr:spPr>
        <a:xfrm>
          <a:off x="0" y="5172075"/>
          <a:ext cx="142875" cy="0"/>
        </a:xfrm>
        <a:prstGeom prst="rect">
          <a:avLst/>
        </a:prstGeom>
        <a:noFill/>
        <a:ln w="9525" cmpd="sng">
          <a:noFill/>
        </a:ln>
      </xdr:spPr>
    </xdr:pic>
    <xdr:clientData/>
  </xdr:twoCellAnchor>
  <xdr:twoCellAnchor>
    <xdr:from>
      <xdr:col>0</xdr:col>
      <xdr:colOff>0</xdr:colOff>
      <xdr:row>17</xdr:row>
      <xdr:rowOff>0</xdr:rowOff>
    </xdr:from>
    <xdr:to>
      <xdr:col>0</xdr:col>
      <xdr:colOff>142875</xdr:colOff>
      <xdr:row>17</xdr:row>
      <xdr:rowOff>0</xdr:rowOff>
    </xdr:to>
    <xdr:pic>
      <xdr:nvPicPr>
        <xdr:cNvPr id="2" name="Picture 1" descr="BD15057_"/>
        <xdr:cNvPicPr preferRelativeResize="1">
          <a:picLocks noChangeAspect="1"/>
        </xdr:cNvPicPr>
      </xdr:nvPicPr>
      <xdr:blipFill>
        <a:blip r:embed="rId1"/>
        <a:stretch>
          <a:fillRect/>
        </a:stretch>
      </xdr:blipFill>
      <xdr:spPr>
        <a:xfrm>
          <a:off x="0" y="5572125"/>
          <a:ext cx="1428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116</xdr:row>
      <xdr:rowOff>0</xdr:rowOff>
    </xdr:from>
    <xdr:to>
      <xdr:col>6</xdr:col>
      <xdr:colOff>171450</xdr:colOff>
      <xdr:row>291</xdr:row>
      <xdr:rowOff>9525</xdr:rowOff>
    </xdr:to>
    <xdr:pic>
      <xdr:nvPicPr>
        <xdr:cNvPr id="1" name="Imagem 1"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117</xdr:row>
      <xdr:rowOff>0</xdr:rowOff>
    </xdr:from>
    <xdr:to>
      <xdr:col>6</xdr:col>
      <xdr:colOff>171450</xdr:colOff>
      <xdr:row>291</xdr:row>
      <xdr:rowOff>9525</xdr:rowOff>
    </xdr:to>
    <xdr:pic>
      <xdr:nvPicPr>
        <xdr:cNvPr id="2" name="Imagem 2"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118</xdr:row>
      <xdr:rowOff>0</xdr:rowOff>
    </xdr:from>
    <xdr:to>
      <xdr:col>6</xdr:col>
      <xdr:colOff>171450</xdr:colOff>
      <xdr:row>291</xdr:row>
      <xdr:rowOff>9525</xdr:rowOff>
    </xdr:to>
    <xdr:pic>
      <xdr:nvPicPr>
        <xdr:cNvPr id="3" name="Imagem 3"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119</xdr:row>
      <xdr:rowOff>0</xdr:rowOff>
    </xdr:from>
    <xdr:to>
      <xdr:col>6</xdr:col>
      <xdr:colOff>171450</xdr:colOff>
      <xdr:row>291</xdr:row>
      <xdr:rowOff>9525</xdr:rowOff>
    </xdr:to>
    <xdr:pic>
      <xdr:nvPicPr>
        <xdr:cNvPr id="4" name="Imagem 4"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120</xdr:row>
      <xdr:rowOff>0</xdr:rowOff>
    </xdr:from>
    <xdr:to>
      <xdr:col>6</xdr:col>
      <xdr:colOff>171450</xdr:colOff>
      <xdr:row>291</xdr:row>
      <xdr:rowOff>9525</xdr:rowOff>
    </xdr:to>
    <xdr:pic>
      <xdr:nvPicPr>
        <xdr:cNvPr id="5" name="Imagem 5"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126</xdr:row>
      <xdr:rowOff>0</xdr:rowOff>
    </xdr:from>
    <xdr:to>
      <xdr:col>6</xdr:col>
      <xdr:colOff>171450</xdr:colOff>
      <xdr:row>291</xdr:row>
      <xdr:rowOff>9525</xdr:rowOff>
    </xdr:to>
    <xdr:pic>
      <xdr:nvPicPr>
        <xdr:cNvPr id="6" name="Imagem 6"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127</xdr:row>
      <xdr:rowOff>0</xdr:rowOff>
    </xdr:from>
    <xdr:to>
      <xdr:col>6</xdr:col>
      <xdr:colOff>171450</xdr:colOff>
      <xdr:row>291</xdr:row>
      <xdr:rowOff>9525</xdr:rowOff>
    </xdr:to>
    <xdr:pic>
      <xdr:nvPicPr>
        <xdr:cNvPr id="7" name="Imagem 7"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128</xdr:row>
      <xdr:rowOff>0</xdr:rowOff>
    </xdr:from>
    <xdr:to>
      <xdr:col>6</xdr:col>
      <xdr:colOff>171450</xdr:colOff>
      <xdr:row>291</xdr:row>
      <xdr:rowOff>9525</xdr:rowOff>
    </xdr:to>
    <xdr:pic>
      <xdr:nvPicPr>
        <xdr:cNvPr id="8" name="Imagem 8"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129</xdr:row>
      <xdr:rowOff>0</xdr:rowOff>
    </xdr:from>
    <xdr:to>
      <xdr:col>6</xdr:col>
      <xdr:colOff>171450</xdr:colOff>
      <xdr:row>291</xdr:row>
      <xdr:rowOff>9525</xdr:rowOff>
    </xdr:to>
    <xdr:pic>
      <xdr:nvPicPr>
        <xdr:cNvPr id="9" name="Imagem 9"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130</xdr:row>
      <xdr:rowOff>0</xdr:rowOff>
    </xdr:from>
    <xdr:to>
      <xdr:col>6</xdr:col>
      <xdr:colOff>171450</xdr:colOff>
      <xdr:row>291</xdr:row>
      <xdr:rowOff>9525</xdr:rowOff>
    </xdr:to>
    <xdr:pic>
      <xdr:nvPicPr>
        <xdr:cNvPr id="10" name="Imagem 10"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135</xdr:row>
      <xdr:rowOff>0</xdr:rowOff>
    </xdr:from>
    <xdr:to>
      <xdr:col>6</xdr:col>
      <xdr:colOff>171450</xdr:colOff>
      <xdr:row>291</xdr:row>
      <xdr:rowOff>9525</xdr:rowOff>
    </xdr:to>
    <xdr:pic>
      <xdr:nvPicPr>
        <xdr:cNvPr id="11" name="Imagem 11"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136</xdr:row>
      <xdr:rowOff>0</xdr:rowOff>
    </xdr:from>
    <xdr:to>
      <xdr:col>6</xdr:col>
      <xdr:colOff>171450</xdr:colOff>
      <xdr:row>291</xdr:row>
      <xdr:rowOff>9525</xdr:rowOff>
    </xdr:to>
    <xdr:pic>
      <xdr:nvPicPr>
        <xdr:cNvPr id="12" name="Imagem 12"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137</xdr:row>
      <xdr:rowOff>0</xdr:rowOff>
    </xdr:from>
    <xdr:to>
      <xdr:col>6</xdr:col>
      <xdr:colOff>171450</xdr:colOff>
      <xdr:row>291</xdr:row>
      <xdr:rowOff>9525</xdr:rowOff>
    </xdr:to>
    <xdr:pic>
      <xdr:nvPicPr>
        <xdr:cNvPr id="13" name="Imagem 13"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142</xdr:row>
      <xdr:rowOff>0</xdr:rowOff>
    </xdr:from>
    <xdr:to>
      <xdr:col>6</xdr:col>
      <xdr:colOff>171450</xdr:colOff>
      <xdr:row>291</xdr:row>
      <xdr:rowOff>9525</xdr:rowOff>
    </xdr:to>
    <xdr:pic>
      <xdr:nvPicPr>
        <xdr:cNvPr id="14" name="Imagem 14"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143</xdr:row>
      <xdr:rowOff>0</xdr:rowOff>
    </xdr:from>
    <xdr:to>
      <xdr:col>6</xdr:col>
      <xdr:colOff>171450</xdr:colOff>
      <xdr:row>291</xdr:row>
      <xdr:rowOff>9525</xdr:rowOff>
    </xdr:to>
    <xdr:pic>
      <xdr:nvPicPr>
        <xdr:cNvPr id="15" name="Imagem 15"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144</xdr:row>
      <xdr:rowOff>0</xdr:rowOff>
    </xdr:from>
    <xdr:to>
      <xdr:col>6</xdr:col>
      <xdr:colOff>171450</xdr:colOff>
      <xdr:row>291</xdr:row>
      <xdr:rowOff>9525</xdr:rowOff>
    </xdr:to>
    <xdr:pic>
      <xdr:nvPicPr>
        <xdr:cNvPr id="16" name="Imagem 16"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149</xdr:row>
      <xdr:rowOff>0</xdr:rowOff>
    </xdr:from>
    <xdr:to>
      <xdr:col>6</xdr:col>
      <xdr:colOff>171450</xdr:colOff>
      <xdr:row>291</xdr:row>
      <xdr:rowOff>9525</xdr:rowOff>
    </xdr:to>
    <xdr:pic>
      <xdr:nvPicPr>
        <xdr:cNvPr id="17" name="Imagem 17"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150</xdr:row>
      <xdr:rowOff>0</xdr:rowOff>
    </xdr:from>
    <xdr:to>
      <xdr:col>6</xdr:col>
      <xdr:colOff>171450</xdr:colOff>
      <xdr:row>291</xdr:row>
      <xdr:rowOff>9525</xdr:rowOff>
    </xdr:to>
    <xdr:pic>
      <xdr:nvPicPr>
        <xdr:cNvPr id="18" name="Imagem 18"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151</xdr:row>
      <xdr:rowOff>0</xdr:rowOff>
    </xdr:from>
    <xdr:to>
      <xdr:col>6</xdr:col>
      <xdr:colOff>171450</xdr:colOff>
      <xdr:row>291</xdr:row>
      <xdr:rowOff>9525</xdr:rowOff>
    </xdr:to>
    <xdr:pic>
      <xdr:nvPicPr>
        <xdr:cNvPr id="19" name="Imagem 19"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152</xdr:row>
      <xdr:rowOff>0</xdr:rowOff>
    </xdr:from>
    <xdr:to>
      <xdr:col>6</xdr:col>
      <xdr:colOff>171450</xdr:colOff>
      <xdr:row>291</xdr:row>
      <xdr:rowOff>9525</xdr:rowOff>
    </xdr:to>
    <xdr:pic>
      <xdr:nvPicPr>
        <xdr:cNvPr id="20" name="Imagem 20"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153</xdr:row>
      <xdr:rowOff>0</xdr:rowOff>
    </xdr:from>
    <xdr:to>
      <xdr:col>6</xdr:col>
      <xdr:colOff>171450</xdr:colOff>
      <xdr:row>291</xdr:row>
      <xdr:rowOff>9525</xdr:rowOff>
    </xdr:to>
    <xdr:pic>
      <xdr:nvPicPr>
        <xdr:cNvPr id="21" name="Imagem 21"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154</xdr:row>
      <xdr:rowOff>0</xdr:rowOff>
    </xdr:from>
    <xdr:to>
      <xdr:col>6</xdr:col>
      <xdr:colOff>171450</xdr:colOff>
      <xdr:row>291</xdr:row>
      <xdr:rowOff>9525</xdr:rowOff>
    </xdr:to>
    <xdr:pic>
      <xdr:nvPicPr>
        <xdr:cNvPr id="22" name="Imagem 22"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164</xdr:row>
      <xdr:rowOff>0</xdr:rowOff>
    </xdr:from>
    <xdr:to>
      <xdr:col>6</xdr:col>
      <xdr:colOff>171450</xdr:colOff>
      <xdr:row>291</xdr:row>
      <xdr:rowOff>0</xdr:rowOff>
    </xdr:to>
    <xdr:pic>
      <xdr:nvPicPr>
        <xdr:cNvPr id="23" name="Imagem 23"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165</xdr:row>
      <xdr:rowOff>0</xdr:rowOff>
    </xdr:from>
    <xdr:to>
      <xdr:col>6</xdr:col>
      <xdr:colOff>171450</xdr:colOff>
      <xdr:row>291</xdr:row>
      <xdr:rowOff>0</xdr:rowOff>
    </xdr:to>
    <xdr:pic>
      <xdr:nvPicPr>
        <xdr:cNvPr id="24" name="Imagem 24"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166</xdr:row>
      <xdr:rowOff>0</xdr:rowOff>
    </xdr:from>
    <xdr:to>
      <xdr:col>6</xdr:col>
      <xdr:colOff>171450</xdr:colOff>
      <xdr:row>291</xdr:row>
      <xdr:rowOff>9525</xdr:rowOff>
    </xdr:to>
    <xdr:pic>
      <xdr:nvPicPr>
        <xdr:cNvPr id="25" name="Imagem 25"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167</xdr:row>
      <xdr:rowOff>0</xdr:rowOff>
    </xdr:from>
    <xdr:to>
      <xdr:col>6</xdr:col>
      <xdr:colOff>171450</xdr:colOff>
      <xdr:row>291</xdr:row>
      <xdr:rowOff>9525</xdr:rowOff>
    </xdr:to>
    <xdr:pic>
      <xdr:nvPicPr>
        <xdr:cNvPr id="26" name="Imagem 26"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168</xdr:row>
      <xdr:rowOff>0</xdr:rowOff>
    </xdr:from>
    <xdr:to>
      <xdr:col>6</xdr:col>
      <xdr:colOff>171450</xdr:colOff>
      <xdr:row>291</xdr:row>
      <xdr:rowOff>0</xdr:rowOff>
    </xdr:to>
    <xdr:pic>
      <xdr:nvPicPr>
        <xdr:cNvPr id="27" name="Imagem 27"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168</xdr:row>
      <xdr:rowOff>0</xdr:rowOff>
    </xdr:from>
    <xdr:to>
      <xdr:col>6</xdr:col>
      <xdr:colOff>171450</xdr:colOff>
      <xdr:row>291</xdr:row>
      <xdr:rowOff>9525</xdr:rowOff>
    </xdr:to>
    <xdr:pic>
      <xdr:nvPicPr>
        <xdr:cNvPr id="28" name="Imagem 28"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168</xdr:row>
      <xdr:rowOff>0</xdr:rowOff>
    </xdr:from>
    <xdr:to>
      <xdr:col>6</xdr:col>
      <xdr:colOff>171450</xdr:colOff>
      <xdr:row>291</xdr:row>
      <xdr:rowOff>0</xdr:rowOff>
    </xdr:to>
    <xdr:pic>
      <xdr:nvPicPr>
        <xdr:cNvPr id="29" name="Imagem 29"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168</xdr:row>
      <xdr:rowOff>0</xdr:rowOff>
    </xdr:from>
    <xdr:to>
      <xdr:col>6</xdr:col>
      <xdr:colOff>171450</xdr:colOff>
      <xdr:row>291</xdr:row>
      <xdr:rowOff>0</xdr:rowOff>
    </xdr:to>
    <xdr:pic>
      <xdr:nvPicPr>
        <xdr:cNvPr id="30" name="Imagem 30"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168</xdr:row>
      <xdr:rowOff>0</xdr:rowOff>
    </xdr:from>
    <xdr:to>
      <xdr:col>6</xdr:col>
      <xdr:colOff>171450</xdr:colOff>
      <xdr:row>291</xdr:row>
      <xdr:rowOff>0</xdr:rowOff>
    </xdr:to>
    <xdr:pic>
      <xdr:nvPicPr>
        <xdr:cNvPr id="31" name="Imagem 31"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168</xdr:row>
      <xdr:rowOff>0</xdr:rowOff>
    </xdr:from>
    <xdr:to>
      <xdr:col>6</xdr:col>
      <xdr:colOff>171450</xdr:colOff>
      <xdr:row>291</xdr:row>
      <xdr:rowOff>0</xdr:rowOff>
    </xdr:to>
    <xdr:pic>
      <xdr:nvPicPr>
        <xdr:cNvPr id="32" name="Imagem 32"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168</xdr:row>
      <xdr:rowOff>0</xdr:rowOff>
    </xdr:from>
    <xdr:to>
      <xdr:col>6</xdr:col>
      <xdr:colOff>171450</xdr:colOff>
      <xdr:row>291</xdr:row>
      <xdr:rowOff>0</xdr:rowOff>
    </xdr:to>
    <xdr:pic>
      <xdr:nvPicPr>
        <xdr:cNvPr id="33" name="Imagem 33"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168</xdr:row>
      <xdr:rowOff>0</xdr:rowOff>
    </xdr:from>
    <xdr:to>
      <xdr:col>6</xdr:col>
      <xdr:colOff>171450</xdr:colOff>
      <xdr:row>291</xdr:row>
      <xdr:rowOff>0</xdr:rowOff>
    </xdr:to>
    <xdr:pic>
      <xdr:nvPicPr>
        <xdr:cNvPr id="34" name="Imagem 34"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130</xdr:row>
      <xdr:rowOff>0</xdr:rowOff>
    </xdr:from>
    <xdr:to>
      <xdr:col>6</xdr:col>
      <xdr:colOff>171450</xdr:colOff>
      <xdr:row>291</xdr:row>
      <xdr:rowOff>0</xdr:rowOff>
    </xdr:to>
    <xdr:pic>
      <xdr:nvPicPr>
        <xdr:cNvPr id="35" name="Imagem 1"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131</xdr:row>
      <xdr:rowOff>0</xdr:rowOff>
    </xdr:from>
    <xdr:to>
      <xdr:col>6</xdr:col>
      <xdr:colOff>171450</xdr:colOff>
      <xdr:row>291</xdr:row>
      <xdr:rowOff>0</xdr:rowOff>
    </xdr:to>
    <xdr:pic>
      <xdr:nvPicPr>
        <xdr:cNvPr id="36" name="Imagem 2"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132</xdr:row>
      <xdr:rowOff>0</xdr:rowOff>
    </xdr:from>
    <xdr:to>
      <xdr:col>6</xdr:col>
      <xdr:colOff>171450</xdr:colOff>
      <xdr:row>291</xdr:row>
      <xdr:rowOff>9525</xdr:rowOff>
    </xdr:to>
    <xdr:pic>
      <xdr:nvPicPr>
        <xdr:cNvPr id="37" name="Imagem 3"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133</xdr:row>
      <xdr:rowOff>0</xdr:rowOff>
    </xdr:from>
    <xdr:to>
      <xdr:col>6</xdr:col>
      <xdr:colOff>171450</xdr:colOff>
      <xdr:row>291</xdr:row>
      <xdr:rowOff>0</xdr:rowOff>
    </xdr:to>
    <xdr:pic>
      <xdr:nvPicPr>
        <xdr:cNvPr id="38" name="Imagem 4"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134</xdr:row>
      <xdr:rowOff>0</xdr:rowOff>
    </xdr:from>
    <xdr:to>
      <xdr:col>6</xdr:col>
      <xdr:colOff>171450</xdr:colOff>
      <xdr:row>291</xdr:row>
      <xdr:rowOff>0</xdr:rowOff>
    </xdr:to>
    <xdr:pic>
      <xdr:nvPicPr>
        <xdr:cNvPr id="39" name="Imagem 5"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140</xdr:row>
      <xdr:rowOff>0</xdr:rowOff>
    </xdr:from>
    <xdr:to>
      <xdr:col>6</xdr:col>
      <xdr:colOff>171450</xdr:colOff>
      <xdr:row>291</xdr:row>
      <xdr:rowOff>9525</xdr:rowOff>
    </xdr:to>
    <xdr:pic>
      <xdr:nvPicPr>
        <xdr:cNvPr id="40" name="Imagem 6"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141</xdr:row>
      <xdr:rowOff>0</xdr:rowOff>
    </xdr:from>
    <xdr:to>
      <xdr:col>6</xdr:col>
      <xdr:colOff>171450</xdr:colOff>
      <xdr:row>291</xdr:row>
      <xdr:rowOff>9525</xdr:rowOff>
    </xdr:to>
    <xdr:pic>
      <xdr:nvPicPr>
        <xdr:cNvPr id="41" name="Imagem 7"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142</xdr:row>
      <xdr:rowOff>0</xdr:rowOff>
    </xdr:from>
    <xdr:to>
      <xdr:col>6</xdr:col>
      <xdr:colOff>171450</xdr:colOff>
      <xdr:row>292</xdr:row>
      <xdr:rowOff>9525</xdr:rowOff>
    </xdr:to>
    <xdr:pic>
      <xdr:nvPicPr>
        <xdr:cNvPr id="42" name="Imagem 8" descr="http://boletim.cpos.sp.gov.br/images/consultar.png"/>
        <xdr:cNvPicPr preferRelativeResize="1">
          <a:picLocks noChangeAspect="1"/>
        </xdr:cNvPicPr>
      </xdr:nvPicPr>
      <xdr:blipFill>
        <a:blip r:embed="rId1"/>
        <a:stretch>
          <a:fillRect/>
        </a:stretch>
      </xdr:blipFill>
      <xdr:spPr>
        <a:xfrm>
          <a:off x="8505825" y="11220450"/>
          <a:ext cx="171450" cy="333375"/>
        </a:xfrm>
        <a:prstGeom prst="rect">
          <a:avLst/>
        </a:prstGeom>
        <a:noFill/>
        <a:ln w="9525" cmpd="sng">
          <a:noFill/>
        </a:ln>
      </xdr:spPr>
    </xdr:pic>
    <xdr:clientData/>
  </xdr:twoCellAnchor>
  <xdr:twoCellAnchor editAs="oneCell">
    <xdr:from>
      <xdr:col>6</xdr:col>
      <xdr:colOff>0</xdr:colOff>
      <xdr:row>143</xdr:row>
      <xdr:rowOff>0</xdr:rowOff>
    </xdr:from>
    <xdr:to>
      <xdr:col>6</xdr:col>
      <xdr:colOff>171450</xdr:colOff>
      <xdr:row>292</xdr:row>
      <xdr:rowOff>9525</xdr:rowOff>
    </xdr:to>
    <xdr:pic>
      <xdr:nvPicPr>
        <xdr:cNvPr id="43" name="Imagem 9" descr="http://boletim.cpos.sp.gov.br/images/consultar.png"/>
        <xdr:cNvPicPr preferRelativeResize="1">
          <a:picLocks noChangeAspect="1"/>
        </xdr:cNvPicPr>
      </xdr:nvPicPr>
      <xdr:blipFill>
        <a:blip r:embed="rId1"/>
        <a:stretch>
          <a:fillRect/>
        </a:stretch>
      </xdr:blipFill>
      <xdr:spPr>
        <a:xfrm>
          <a:off x="8505825" y="11220450"/>
          <a:ext cx="171450" cy="333375"/>
        </a:xfrm>
        <a:prstGeom prst="rect">
          <a:avLst/>
        </a:prstGeom>
        <a:noFill/>
        <a:ln w="9525" cmpd="sng">
          <a:noFill/>
        </a:ln>
      </xdr:spPr>
    </xdr:pic>
    <xdr:clientData/>
  </xdr:twoCellAnchor>
  <xdr:twoCellAnchor editAs="oneCell">
    <xdr:from>
      <xdr:col>6</xdr:col>
      <xdr:colOff>0</xdr:colOff>
      <xdr:row>144</xdr:row>
      <xdr:rowOff>0</xdr:rowOff>
    </xdr:from>
    <xdr:to>
      <xdr:col>6</xdr:col>
      <xdr:colOff>171450</xdr:colOff>
      <xdr:row>292</xdr:row>
      <xdr:rowOff>9525</xdr:rowOff>
    </xdr:to>
    <xdr:pic>
      <xdr:nvPicPr>
        <xdr:cNvPr id="44" name="Imagem 10" descr="http://boletim.cpos.sp.gov.br/images/consultar.png"/>
        <xdr:cNvPicPr preferRelativeResize="1">
          <a:picLocks noChangeAspect="1"/>
        </xdr:cNvPicPr>
      </xdr:nvPicPr>
      <xdr:blipFill>
        <a:blip r:embed="rId1"/>
        <a:stretch>
          <a:fillRect/>
        </a:stretch>
      </xdr:blipFill>
      <xdr:spPr>
        <a:xfrm>
          <a:off x="8505825" y="11220450"/>
          <a:ext cx="171450" cy="333375"/>
        </a:xfrm>
        <a:prstGeom prst="rect">
          <a:avLst/>
        </a:prstGeom>
        <a:noFill/>
        <a:ln w="9525" cmpd="sng">
          <a:noFill/>
        </a:ln>
      </xdr:spPr>
    </xdr:pic>
    <xdr:clientData/>
  </xdr:twoCellAnchor>
  <xdr:twoCellAnchor editAs="oneCell">
    <xdr:from>
      <xdr:col>6</xdr:col>
      <xdr:colOff>0</xdr:colOff>
      <xdr:row>149</xdr:row>
      <xdr:rowOff>0</xdr:rowOff>
    </xdr:from>
    <xdr:to>
      <xdr:col>6</xdr:col>
      <xdr:colOff>171450</xdr:colOff>
      <xdr:row>291</xdr:row>
      <xdr:rowOff>9525</xdr:rowOff>
    </xdr:to>
    <xdr:pic>
      <xdr:nvPicPr>
        <xdr:cNvPr id="45" name="Imagem 11"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150</xdr:row>
      <xdr:rowOff>0</xdr:rowOff>
    </xdr:from>
    <xdr:to>
      <xdr:col>6</xdr:col>
      <xdr:colOff>171450</xdr:colOff>
      <xdr:row>291</xdr:row>
      <xdr:rowOff>9525</xdr:rowOff>
    </xdr:to>
    <xdr:pic>
      <xdr:nvPicPr>
        <xdr:cNvPr id="46" name="Imagem 12"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151</xdr:row>
      <xdr:rowOff>0</xdr:rowOff>
    </xdr:from>
    <xdr:to>
      <xdr:col>6</xdr:col>
      <xdr:colOff>171450</xdr:colOff>
      <xdr:row>291</xdr:row>
      <xdr:rowOff>9525</xdr:rowOff>
    </xdr:to>
    <xdr:pic>
      <xdr:nvPicPr>
        <xdr:cNvPr id="47" name="Imagem 13"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156</xdr:row>
      <xdr:rowOff>0</xdr:rowOff>
    </xdr:from>
    <xdr:to>
      <xdr:col>6</xdr:col>
      <xdr:colOff>171450</xdr:colOff>
      <xdr:row>291</xdr:row>
      <xdr:rowOff>0</xdr:rowOff>
    </xdr:to>
    <xdr:pic>
      <xdr:nvPicPr>
        <xdr:cNvPr id="48" name="Imagem 14"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157</xdr:row>
      <xdr:rowOff>0</xdr:rowOff>
    </xdr:from>
    <xdr:to>
      <xdr:col>6</xdr:col>
      <xdr:colOff>171450</xdr:colOff>
      <xdr:row>291</xdr:row>
      <xdr:rowOff>0</xdr:rowOff>
    </xdr:to>
    <xdr:pic>
      <xdr:nvPicPr>
        <xdr:cNvPr id="49" name="Imagem 15"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158</xdr:row>
      <xdr:rowOff>0</xdr:rowOff>
    </xdr:from>
    <xdr:to>
      <xdr:col>6</xdr:col>
      <xdr:colOff>171450</xdr:colOff>
      <xdr:row>291</xdr:row>
      <xdr:rowOff>0</xdr:rowOff>
    </xdr:to>
    <xdr:pic>
      <xdr:nvPicPr>
        <xdr:cNvPr id="50" name="Imagem 16"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163</xdr:row>
      <xdr:rowOff>0</xdr:rowOff>
    </xdr:from>
    <xdr:to>
      <xdr:col>6</xdr:col>
      <xdr:colOff>171450</xdr:colOff>
      <xdr:row>291</xdr:row>
      <xdr:rowOff>0</xdr:rowOff>
    </xdr:to>
    <xdr:pic>
      <xdr:nvPicPr>
        <xdr:cNvPr id="51" name="Imagem 17"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164</xdr:row>
      <xdr:rowOff>0</xdr:rowOff>
    </xdr:from>
    <xdr:to>
      <xdr:col>6</xdr:col>
      <xdr:colOff>171450</xdr:colOff>
      <xdr:row>291</xdr:row>
      <xdr:rowOff>0</xdr:rowOff>
    </xdr:to>
    <xdr:pic>
      <xdr:nvPicPr>
        <xdr:cNvPr id="52" name="Imagem 18"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165</xdr:row>
      <xdr:rowOff>0</xdr:rowOff>
    </xdr:from>
    <xdr:to>
      <xdr:col>6</xdr:col>
      <xdr:colOff>171450</xdr:colOff>
      <xdr:row>291</xdr:row>
      <xdr:rowOff>0</xdr:rowOff>
    </xdr:to>
    <xdr:pic>
      <xdr:nvPicPr>
        <xdr:cNvPr id="53" name="Imagem 19"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166</xdr:row>
      <xdr:rowOff>0</xdr:rowOff>
    </xdr:from>
    <xdr:to>
      <xdr:col>6</xdr:col>
      <xdr:colOff>171450</xdr:colOff>
      <xdr:row>292</xdr:row>
      <xdr:rowOff>9525</xdr:rowOff>
    </xdr:to>
    <xdr:pic>
      <xdr:nvPicPr>
        <xdr:cNvPr id="54" name="Imagem 20" descr="http://boletim.cpos.sp.gov.br/images/consultar.png"/>
        <xdr:cNvPicPr preferRelativeResize="1">
          <a:picLocks noChangeAspect="1"/>
        </xdr:cNvPicPr>
      </xdr:nvPicPr>
      <xdr:blipFill>
        <a:blip r:embed="rId1"/>
        <a:stretch>
          <a:fillRect/>
        </a:stretch>
      </xdr:blipFill>
      <xdr:spPr>
        <a:xfrm>
          <a:off x="8505825" y="11220450"/>
          <a:ext cx="171450" cy="333375"/>
        </a:xfrm>
        <a:prstGeom prst="rect">
          <a:avLst/>
        </a:prstGeom>
        <a:noFill/>
        <a:ln w="9525" cmpd="sng">
          <a:noFill/>
        </a:ln>
      </xdr:spPr>
    </xdr:pic>
    <xdr:clientData/>
  </xdr:twoCellAnchor>
  <xdr:twoCellAnchor editAs="oneCell">
    <xdr:from>
      <xdr:col>6</xdr:col>
      <xdr:colOff>0</xdr:colOff>
      <xdr:row>167</xdr:row>
      <xdr:rowOff>0</xdr:rowOff>
    </xdr:from>
    <xdr:to>
      <xdr:col>6</xdr:col>
      <xdr:colOff>171450</xdr:colOff>
      <xdr:row>290</xdr:row>
      <xdr:rowOff>19050</xdr:rowOff>
    </xdr:to>
    <xdr:pic>
      <xdr:nvPicPr>
        <xdr:cNvPr id="55" name="Imagem 21" descr="http://boletim.cpos.sp.gov.br/images/consultar.png"/>
        <xdr:cNvPicPr preferRelativeResize="1">
          <a:picLocks noChangeAspect="1"/>
        </xdr:cNvPicPr>
      </xdr:nvPicPr>
      <xdr:blipFill>
        <a:blip r:embed="rId1"/>
        <a:stretch>
          <a:fillRect/>
        </a:stretch>
      </xdr:blipFill>
      <xdr:spPr>
        <a:xfrm>
          <a:off x="8505825" y="11220450"/>
          <a:ext cx="171450" cy="19050"/>
        </a:xfrm>
        <a:prstGeom prst="rect">
          <a:avLst/>
        </a:prstGeom>
        <a:noFill/>
        <a:ln w="9525" cmpd="sng">
          <a:noFill/>
        </a:ln>
      </xdr:spPr>
    </xdr:pic>
    <xdr:clientData/>
  </xdr:twoCellAnchor>
  <xdr:twoCellAnchor editAs="oneCell">
    <xdr:from>
      <xdr:col>6</xdr:col>
      <xdr:colOff>0</xdr:colOff>
      <xdr:row>168</xdr:row>
      <xdr:rowOff>0</xdr:rowOff>
    </xdr:from>
    <xdr:to>
      <xdr:col>6</xdr:col>
      <xdr:colOff>171450</xdr:colOff>
      <xdr:row>291</xdr:row>
      <xdr:rowOff>0</xdr:rowOff>
    </xdr:to>
    <xdr:pic>
      <xdr:nvPicPr>
        <xdr:cNvPr id="56" name="Imagem 22"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178</xdr:row>
      <xdr:rowOff>0</xdr:rowOff>
    </xdr:from>
    <xdr:to>
      <xdr:col>6</xdr:col>
      <xdr:colOff>171450</xdr:colOff>
      <xdr:row>291</xdr:row>
      <xdr:rowOff>0</xdr:rowOff>
    </xdr:to>
    <xdr:pic>
      <xdr:nvPicPr>
        <xdr:cNvPr id="57" name="Imagem 23"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179</xdr:row>
      <xdr:rowOff>0</xdr:rowOff>
    </xdr:from>
    <xdr:to>
      <xdr:col>6</xdr:col>
      <xdr:colOff>171450</xdr:colOff>
      <xdr:row>291</xdr:row>
      <xdr:rowOff>0</xdr:rowOff>
    </xdr:to>
    <xdr:pic>
      <xdr:nvPicPr>
        <xdr:cNvPr id="58" name="Imagem 24"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180</xdr:row>
      <xdr:rowOff>0</xdr:rowOff>
    </xdr:from>
    <xdr:to>
      <xdr:col>6</xdr:col>
      <xdr:colOff>171450</xdr:colOff>
      <xdr:row>291</xdr:row>
      <xdr:rowOff>9525</xdr:rowOff>
    </xdr:to>
    <xdr:pic>
      <xdr:nvPicPr>
        <xdr:cNvPr id="59" name="Imagem 25"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181</xdr:row>
      <xdr:rowOff>0</xdr:rowOff>
    </xdr:from>
    <xdr:to>
      <xdr:col>6</xdr:col>
      <xdr:colOff>171450</xdr:colOff>
      <xdr:row>291</xdr:row>
      <xdr:rowOff>9525</xdr:rowOff>
    </xdr:to>
    <xdr:pic>
      <xdr:nvPicPr>
        <xdr:cNvPr id="60" name="Imagem 26"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182</xdr:row>
      <xdr:rowOff>0</xdr:rowOff>
    </xdr:from>
    <xdr:to>
      <xdr:col>6</xdr:col>
      <xdr:colOff>171450</xdr:colOff>
      <xdr:row>291</xdr:row>
      <xdr:rowOff>0</xdr:rowOff>
    </xdr:to>
    <xdr:pic>
      <xdr:nvPicPr>
        <xdr:cNvPr id="61" name="Imagem 27"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182</xdr:row>
      <xdr:rowOff>0</xdr:rowOff>
    </xdr:from>
    <xdr:to>
      <xdr:col>6</xdr:col>
      <xdr:colOff>171450</xdr:colOff>
      <xdr:row>291</xdr:row>
      <xdr:rowOff>9525</xdr:rowOff>
    </xdr:to>
    <xdr:pic>
      <xdr:nvPicPr>
        <xdr:cNvPr id="62" name="Imagem 28"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182</xdr:row>
      <xdr:rowOff>0</xdr:rowOff>
    </xdr:from>
    <xdr:to>
      <xdr:col>6</xdr:col>
      <xdr:colOff>171450</xdr:colOff>
      <xdr:row>291</xdr:row>
      <xdr:rowOff>0</xdr:rowOff>
    </xdr:to>
    <xdr:pic>
      <xdr:nvPicPr>
        <xdr:cNvPr id="63" name="Imagem 29"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182</xdr:row>
      <xdr:rowOff>0</xdr:rowOff>
    </xdr:from>
    <xdr:to>
      <xdr:col>6</xdr:col>
      <xdr:colOff>171450</xdr:colOff>
      <xdr:row>291</xdr:row>
      <xdr:rowOff>0</xdr:rowOff>
    </xdr:to>
    <xdr:pic>
      <xdr:nvPicPr>
        <xdr:cNvPr id="64" name="Imagem 30"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182</xdr:row>
      <xdr:rowOff>0</xdr:rowOff>
    </xdr:from>
    <xdr:to>
      <xdr:col>6</xdr:col>
      <xdr:colOff>171450</xdr:colOff>
      <xdr:row>291</xdr:row>
      <xdr:rowOff>0</xdr:rowOff>
    </xdr:to>
    <xdr:pic>
      <xdr:nvPicPr>
        <xdr:cNvPr id="65" name="Imagem 31"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182</xdr:row>
      <xdr:rowOff>0</xdr:rowOff>
    </xdr:from>
    <xdr:to>
      <xdr:col>6</xdr:col>
      <xdr:colOff>171450</xdr:colOff>
      <xdr:row>291</xdr:row>
      <xdr:rowOff>0</xdr:rowOff>
    </xdr:to>
    <xdr:pic>
      <xdr:nvPicPr>
        <xdr:cNvPr id="66" name="Imagem 32"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182</xdr:row>
      <xdr:rowOff>0</xdr:rowOff>
    </xdr:from>
    <xdr:to>
      <xdr:col>6</xdr:col>
      <xdr:colOff>171450</xdr:colOff>
      <xdr:row>291</xdr:row>
      <xdr:rowOff>0</xdr:rowOff>
    </xdr:to>
    <xdr:pic>
      <xdr:nvPicPr>
        <xdr:cNvPr id="67" name="Imagem 33"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182</xdr:row>
      <xdr:rowOff>0</xdr:rowOff>
    </xdr:from>
    <xdr:to>
      <xdr:col>6</xdr:col>
      <xdr:colOff>171450</xdr:colOff>
      <xdr:row>291</xdr:row>
      <xdr:rowOff>0</xdr:rowOff>
    </xdr:to>
    <xdr:pic>
      <xdr:nvPicPr>
        <xdr:cNvPr id="68" name="Imagem 34"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116</xdr:row>
      <xdr:rowOff>0</xdr:rowOff>
    </xdr:from>
    <xdr:to>
      <xdr:col>6</xdr:col>
      <xdr:colOff>171450</xdr:colOff>
      <xdr:row>291</xdr:row>
      <xdr:rowOff>9525</xdr:rowOff>
    </xdr:to>
    <xdr:pic>
      <xdr:nvPicPr>
        <xdr:cNvPr id="69" name="Imagem 1"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117</xdr:row>
      <xdr:rowOff>0</xdr:rowOff>
    </xdr:from>
    <xdr:to>
      <xdr:col>6</xdr:col>
      <xdr:colOff>171450</xdr:colOff>
      <xdr:row>291</xdr:row>
      <xdr:rowOff>9525</xdr:rowOff>
    </xdr:to>
    <xdr:pic>
      <xdr:nvPicPr>
        <xdr:cNvPr id="70" name="Imagem 2"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118</xdr:row>
      <xdr:rowOff>0</xdr:rowOff>
    </xdr:from>
    <xdr:to>
      <xdr:col>6</xdr:col>
      <xdr:colOff>171450</xdr:colOff>
      <xdr:row>291</xdr:row>
      <xdr:rowOff>9525</xdr:rowOff>
    </xdr:to>
    <xdr:pic>
      <xdr:nvPicPr>
        <xdr:cNvPr id="71" name="Imagem 3"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119</xdr:row>
      <xdr:rowOff>0</xdr:rowOff>
    </xdr:from>
    <xdr:to>
      <xdr:col>6</xdr:col>
      <xdr:colOff>171450</xdr:colOff>
      <xdr:row>291</xdr:row>
      <xdr:rowOff>9525</xdr:rowOff>
    </xdr:to>
    <xdr:pic>
      <xdr:nvPicPr>
        <xdr:cNvPr id="72" name="Imagem 4"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120</xdr:row>
      <xdr:rowOff>0</xdr:rowOff>
    </xdr:from>
    <xdr:to>
      <xdr:col>6</xdr:col>
      <xdr:colOff>171450</xdr:colOff>
      <xdr:row>291</xdr:row>
      <xdr:rowOff>9525</xdr:rowOff>
    </xdr:to>
    <xdr:pic>
      <xdr:nvPicPr>
        <xdr:cNvPr id="73" name="Imagem 5"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126</xdr:row>
      <xdr:rowOff>0</xdr:rowOff>
    </xdr:from>
    <xdr:to>
      <xdr:col>6</xdr:col>
      <xdr:colOff>171450</xdr:colOff>
      <xdr:row>291</xdr:row>
      <xdr:rowOff>9525</xdr:rowOff>
    </xdr:to>
    <xdr:pic>
      <xdr:nvPicPr>
        <xdr:cNvPr id="74" name="Imagem 6"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127</xdr:row>
      <xdr:rowOff>0</xdr:rowOff>
    </xdr:from>
    <xdr:to>
      <xdr:col>6</xdr:col>
      <xdr:colOff>171450</xdr:colOff>
      <xdr:row>291</xdr:row>
      <xdr:rowOff>9525</xdr:rowOff>
    </xdr:to>
    <xdr:pic>
      <xdr:nvPicPr>
        <xdr:cNvPr id="75" name="Imagem 7"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128</xdr:row>
      <xdr:rowOff>0</xdr:rowOff>
    </xdr:from>
    <xdr:to>
      <xdr:col>6</xdr:col>
      <xdr:colOff>171450</xdr:colOff>
      <xdr:row>291</xdr:row>
      <xdr:rowOff>9525</xdr:rowOff>
    </xdr:to>
    <xdr:pic>
      <xdr:nvPicPr>
        <xdr:cNvPr id="76" name="Imagem 8"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129</xdr:row>
      <xdr:rowOff>0</xdr:rowOff>
    </xdr:from>
    <xdr:to>
      <xdr:col>6</xdr:col>
      <xdr:colOff>171450</xdr:colOff>
      <xdr:row>291</xdr:row>
      <xdr:rowOff>9525</xdr:rowOff>
    </xdr:to>
    <xdr:pic>
      <xdr:nvPicPr>
        <xdr:cNvPr id="77" name="Imagem 9"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130</xdr:row>
      <xdr:rowOff>0</xdr:rowOff>
    </xdr:from>
    <xdr:to>
      <xdr:col>6</xdr:col>
      <xdr:colOff>171450</xdr:colOff>
      <xdr:row>291</xdr:row>
      <xdr:rowOff>9525</xdr:rowOff>
    </xdr:to>
    <xdr:pic>
      <xdr:nvPicPr>
        <xdr:cNvPr id="78" name="Imagem 10"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135</xdr:row>
      <xdr:rowOff>0</xdr:rowOff>
    </xdr:from>
    <xdr:to>
      <xdr:col>6</xdr:col>
      <xdr:colOff>171450</xdr:colOff>
      <xdr:row>291</xdr:row>
      <xdr:rowOff>9525</xdr:rowOff>
    </xdr:to>
    <xdr:pic>
      <xdr:nvPicPr>
        <xdr:cNvPr id="79" name="Imagem 11"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136</xdr:row>
      <xdr:rowOff>0</xdr:rowOff>
    </xdr:from>
    <xdr:to>
      <xdr:col>6</xdr:col>
      <xdr:colOff>171450</xdr:colOff>
      <xdr:row>291</xdr:row>
      <xdr:rowOff>9525</xdr:rowOff>
    </xdr:to>
    <xdr:pic>
      <xdr:nvPicPr>
        <xdr:cNvPr id="80" name="Imagem 12"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137</xdr:row>
      <xdr:rowOff>0</xdr:rowOff>
    </xdr:from>
    <xdr:to>
      <xdr:col>6</xdr:col>
      <xdr:colOff>171450</xdr:colOff>
      <xdr:row>291</xdr:row>
      <xdr:rowOff>9525</xdr:rowOff>
    </xdr:to>
    <xdr:pic>
      <xdr:nvPicPr>
        <xdr:cNvPr id="81" name="Imagem 13"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142</xdr:row>
      <xdr:rowOff>0</xdr:rowOff>
    </xdr:from>
    <xdr:to>
      <xdr:col>6</xdr:col>
      <xdr:colOff>171450</xdr:colOff>
      <xdr:row>291</xdr:row>
      <xdr:rowOff>9525</xdr:rowOff>
    </xdr:to>
    <xdr:pic>
      <xdr:nvPicPr>
        <xdr:cNvPr id="82" name="Imagem 14"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143</xdr:row>
      <xdr:rowOff>0</xdr:rowOff>
    </xdr:from>
    <xdr:to>
      <xdr:col>6</xdr:col>
      <xdr:colOff>171450</xdr:colOff>
      <xdr:row>291</xdr:row>
      <xdr:rowOff>9525</xdr:rowOff>
    </xdr:to>
    <xdr:pic>
      <xdr:nvPicPr>
        <xdr:cNvPr id="83" name="Imagem 15"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144</xdr:row>
      <xdr:rowOff>0</xdr:rowOff>
    </xdr:from>
    <xdr:to>
      <xdr:col>6</xdr:col>
      <xdr:colOff>171450</xdr:colOff>
      <xdr:row>291</xdr:row>
      <xdr:rowOff>9525</xdr:rowOff>
    </xdr:to>
    <xdr:pic>
      <xdr:nvPicPr>
        <xdr:cNvPr id="84" name="Imagem 16"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149</xdr:row>
      <xdr:rowOff>0</xdr:rowOff>
    </xdr:from>
    <xdr:to>
      <xdr:col>6</xdr:col>
      <xdr:colOff>171450</xdr:colOff>
      <xdr:row>291</xdr:row>
      <xdr:rowOff>9525</xdr:rowOff>
    </xdr:to>
    <xdr:pic>
      <xdr:nvPicPr>
        <xdr:cNvPr id="85" name="Imagem 17"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150</xdr:row>
      <xdr:rowOff>0</xdr:rowOff>
    </xdr:from>
    <xdr:to>
      <xdr:col>6</xdr:col>
      <xdr:colOff>171450</xdr:colOff>
      <xdr:row>291</xdr:row>
      <xdr:rowOff>9525</xdr:rowOff>
    </xdr:to>
    <xdr:pic>
      <xdr:nvPicPr>
        <xdr:cNvPr id="86" name="Imagem 18"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151</xdr:row>
      <xdr:rowOff>0</xdr:rowOff>
    </xdr:from>
    <xdr:to>
      <xdr:col>6</xdr:col>
      <xdr:colOff>171450</xdr:colOff>
      <xdr:row>291</xdr:row>
      <xdr:rowOff>9525</xdr:rowOff>
    </xdr:to>
    <xdr:pic>
      <xdr:nvPicPr>
        <xdr:cNvPr id="87" name="Imagem 19"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152</xdr:row>
      <xdr:rowOff>0</xdr:rowOff>
    </xdr:from>
    <xdr:to>
      <xdr:col>6</xdr:col>
      <xdr:colOff>171450</xdr:colOff>
      <xdr:row>291</xdr:row>
      <xdr:rowOff>9525</xdr:rowOff>
    </xdr:to>
    <xdr:pic>
      <xdr:nvPicPr>
        <xdr:cNvPr id="88" name="Imagem 20"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153</xdr:row>
      <xdr:rowOff>0</xdr:rowOff>
    </xdr:from>
    <xdr:to>
      <xdr:col>6</xdr:col>
      <xdr:colOff>171450</xdr:colOff>
      <xdr:row>291</xdr:row>
      <xdr:rowOff>9525</xdr:rowOff>
    </xdr:to>
    <xdr:pic>
      <xdr:nvPicPr>
        <xdr:cNvPr id="89" name="Imagem 21"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154</xdr:row>
      <xdr:rowOff>0</xdr:rowOff>
    </xdr:from>
    <xdr:to>
      <xdr:col>6</xdr:col>
      <xdr:colOff>171450</xdr:colOff>
      <xdr:row>291</xdr:row>
      <xdr:rowOff>9525</xdr:rowOff>
    </xdr:to>
    <xdr:pic>
      <xdr:nvPicPr>
        <xdr:cNvPr id="90" name="Imagem 22"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164</xdr:row>
      <xdr:rowOff>0</xdr:rowOff>
    </xdr:from>
    <xdr:to>
      <xdr:col>6</xdr:col>
      <xdr:colOff>171450</xdr:colOff>
      <xdr:row>291</xdr:row>
      <xdr:rowOff>0</xdr:rowOff>
    </xdr:to>
    <xdr:pic>
      <xdr:nvPicPr>
        <xdr:cNvPr id="91" name="Imagem 23"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165</xdr:row>
      <xdr:rowOff>0</xdr:rowOff>
    </xdr:from>
    <xdr:to>
      <xdr:col>6</xdr:col>
      <xdr:colOff>171450</xdr:colOff>
      <xdr:row>291</xdr:row>
      <xdr:rowOff>0</xdr:rowOff>
    </xdr:to>
    <xdr:pic>
      <xdr:nvPicPr>
        <xdr:cNvPr id="92" name="Imagem 24"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166</xdr:row>
      <xdr:rowOff>0</xdr:rowOff>
    </xdr:from>
    <xdr:to>
      <xdr:col>6</xdr:col>
      <xdr:colOff>171450</xdr:colOff>
      <xdr:row>291</xdr:row>
      <xdr:rowOff>9525</xdr:rowOff>
    </xdr:to>
    <xdr:pic>
      <xdr:nvPicPr>
        <xdr:cNvPr id="93" name="Imagem 25"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167</xdr:row>
      <xdr:rowOff>0</xdr:rowOff>
    </xdr:from>
    <xdr:to>
      <xdr:col>6</xdr:col>
      <xdr:colOff>171450</xdr:colOff>
      <xdr:row>291</xdr:row>
      <xdr:rowOff>9525</xdr:rowOff>
    </xdr:to>
    <xdr:pic>
      <xdr:nvPicPr>
        <xdr:cNvPr id="94" name="Imagem 26"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168</xdr:row>
      <xdr:rowOff>0</xdr:rowOff>
    </xdr:from>
    <xdr:to>
      <xdr:col>6</xdr:col>
      <xdr:colOff>171450</xdr:colOff>
      <xdr:row>291</xdr:row>
      <xdr:rowOff>0</xdr:rowOff>
    </xdr:to>
    <xdr:pic>
      <xdr:nvPicPr>
        <xdr:cNvPr id="95" name="Imagem 27"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168</xdr:row>
      <xdr:rowOff>0</xdr:rowOff>
    </xdr:from>
    <xdr:to>
      <xdr:col>6</xdr:col>
      <xdr:colOff>171450</xdr:colOff>
      <xdr:row>291</xdr:row>
      <xdr:rowOff>9525</xdr:rowOff>
    </xdr:to>
    <xdr:pic>
      <xdr:nvPicPr>
        <xdr:cNvPr id="96" name="Imagem 28"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168</xdr:row>
      <xdr:rowOff>0</xdr:rowOff>
    </xdr:from>
    <xdr:to>
      <xdr:col>6</xdr:col>
      <xdr:colOff>171450</xdr:colOff>
      <xdr:row>291</xdr:row>
      <xdr:rowOff>0</xdr:rowOff>
    </xdr:to>
    <xdr:pic>
      <xdr:nvPicPr>
        <xdr:cNvPr id="97" name="Imagem 29"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168</xdr:row>
      <xdr:rowOff>0</xdr:rowOff>
    </xdr:from>
    <xdr:to>
      <xdr:col>6</xdr:col>
      <xdr:colOff>171450</xdr:colOff>
      <xdr:row>291</xdr:row>
      <xdr:rowOff>0</xdr:rowOff>
    </xdr:to>
    <xdr:pic>
      <xdr:nvPicPr>
        <xdr:cNvPr id="98" name="Imagem 30"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168</xdr:row>
      <xdr:rowOff>0</xdr:rowOff>
    </xdr:from>
    <xdr:to>
      <xdr:col>6</xdr:col>
      <xdr:colOff>171450</xdr:colOff>
      <xdr:row>291</xdr:row>
      <xdr:rowOff>0</xdr:rowOff>
    </xdr:to>
    <xdr:pic>
      <xdr:nvPicPr>
        <xdr:cNvPr id="99" name="Imagem 31"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168</xdr:row>
      <xdr:rowOff>0</xdr:rowOff>
    </xdr:from>
    <xdr:to>
      <xdr:col>6</xdr:col>
      <xdr:colOff>171450</xdr:colOff>
      <xdr:row>291</xdr:row>
      <xdr:rowOff>0</xdr:rowOff>
    </xdr:to>
    <xdr:pic>
      <xdr:nvPicPr>
        <xdr:cNvPr id="100" name="Imagem 32"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168</xdr:row>
      <xdr:rowOff>0</xdr:rowOff>
    </xdr:from>
    <xdr:to>
      <xdr:col>6</xdr:col>
      <xdr:colOff>171450</xdr:colOff>
      <xdr:row>291</xdr:row>
      <xdr:rowOff>0</xdr:rowOff>
    </xdr:to>
    <xdr:pic>
      <xdr:nvPicPr>
        <xdr:cNvPr id="101" name="Imagem 33"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168</xdr:row>
      <xdr:rowOff>0</xdr:rowOff>
    </xdr:from>
    <xdr:to>
      <xdr:col>6</xdr:col>
      <xdr:colOff>171450</xdr:colOff>
      <xdr:row>291</xdr:row>
      <xdr:rowOff>0</xdr:rowOff>
    </xdr:to>
    <xdr:pic>
      <xdr:nvPicPr>
        <xdr:cNvPr id="102" name="Imagem 34"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130</xdr:row>
      <xdr:rowOff>0</xdr:rowOff>
    </xdr:from>
    <xdr:to>
      <xdr:col>6</xdr:col>
      <xdr:colOff>171450</xdr:colOff>
      <xdr:row>291</xdr:row>
      <xdr:rowOff>0</xdr:rowOff>
    </xdr:to>
    <xdr:pic>
      <xdr:nvPicPr>
        <xdr:cNvPr id="103" name="Imagem 1"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131</xdr:row>
      <xdr:rowOff>0</xdr:rowOff>
    </xdr:from>
    <xdr:to>
      <xdr:col>6</xdr:col>
      <xdr:colOff>171450</xdr:colOff>
      <xdr:row>291</xdr:row>
      <xdr:rowOff>0</xdr:rowOff>
    </xdr:to>
    <xdr:pic>
      <xdr:nvPicPr>
        <xdr:cNvPr id="104" name="Imagem 2"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132</xdr:row>
      <xdr:rowOff>0</xdr:rowOff>
    </xdr:from>
    <xdr:to>
      <xdr:col>6</xdr:col>
      <xdr:colOff>171450</xdr:colOff>
      <xdr:row>291</xdr:row>
      <xdr:rowOff>9525</xdr:rowOff>
    </xdr:to>
    <xdr:pic>
      <xdr:nvPicPr>
        <xdr:cNvPr id="105" name="Imagem 3"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133</xdr:row>
      <xdr:rowOff>0</xdr:rowOff>
    </xdr:from>
    <xdr:to>
      <xdr:col>6</xdr:col>
      <xdr:colOff>171450</xdr:colOff>
      <xdr:row>291</xdr:row>
      <xdr:rowOff>0</xdr:rowOff>
    </xdr:to>
    <xdr:pic>
      <xdr:nvPicPr>
        <xdr:cNvPr id="106" name="Imagem 4"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134</xdr:row>
      <xdr:rowOff>0</xdr:rowOff>
    </xdr:from>
    <xdr:to>
      <xdr:col>6</xdr:col>
      <xdr:colOff>171450</xdr:colOff>
      <xdr:row>291</xdr:row>
      <xdr:rowOff>0</xdr:rowOff>
    </xdr:to>
    <xdr:pic>
      <xdr:nvPicPr>
        <xdr:cNvPr id="107" name="Imagem 5"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140</xdr:row>
      <xdr:rowOff>0</xdr:rowOff>
    </xdr:from>
    <xdr:to>
      <xdr:col>6</xdr:col>
      <xdr:colOff>171450</xdr:colOff>
      <xdr:row>291</xdr:row>
      <xdr:rowOff>9525</xdr:rowOff>
    </xdr:to>
    <xdr:pic>
      <xdr:nvPicPr>
        <xdr:cNvPr id="108" name="Imagem 6"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141</xdr:row>
      <xdr:rowOff>0</xdr:rowOff>
    </xdr:from>
    <xdr:to>
      <xdr:col>6</xdr:col>
      <xdr:colOff>171450</xdr:colOff>
      <xdr:row>291</xdr:row>
      <xdr:rowOff>9525</xdr:rowOff>
    </xdr:to>
    <xdr:pic>
      <xdr:nvPicPr>
        <xdr:cNvPr id="109" name="Imagem 7"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142</xdr:row>
      <xdr:rowOff>0</xdr:rowOff>
    </xdr:from>
    <xdr:to>
      <xdr:col>6</xdr:col>
      <xdr:colOff>171450</xdr:colOff>
      <xdr:row>292</xdr:row>
      <xdr:rowOff>9525</xdr:rowOff>
    </xdr:to>
    <xdr:pic>
      <xdr:nvPicPr>
        <xdr:cNvPr id="110" name="Imagem 8" descr="http://boletim.cpos.sp.gov.br/images/consultar.png"/>
        <xdr:cNvPicPr preferRelativeResize="1">
          <a:picLocks noChangeAspect="1"/>
        </xdr:cNvPicPr>
      </xdr:nvPicPr>
      <xdr:blipFill>
        <a:blip r:embed="rId1"/>
        <a:stretch>
          <a:fillRect/>
        </a:stretch>
      </xdr:blipFill>
      <xdr:spPr>
        <a:xfrm>
          <a:off x="8505825" y="11220450"/>
          <a:ext cx="171450" cy="333375"/>
        </a:xfrm>
        <a:prstGeom prst="rect">
          <a:avLst/>
        </a:prstGeom>
        <a:noFill/>
        <a:ln w="9525" cmpd="sng">
          <a:noFill/>
        </a:ln>
      </xdr:spPr>
    </xdr:pic>
    <xdr:clientData/>
  </xdr:twoCellAnchor>
  <xdr:twoCellAnchor editAs="oneCell">
    <xdr:from>
      <xdr:col>6</xdr:col>
      <xdr:colOff>0</xdr:colOff>
      <xdr:row>143</xdr:row>
      <xdr:rowOff>0</xdr:rowOff>
    </xdr:from>
    <xdr:to>
      <xdr:col>6</xdr:col>
      <xdr:colOff>171450</xdr:colOff>
      <xdr:row>292</xdr:row>
      <xdr:rowOff>9525</xdr:rowOff>
    </xdr:to>
    <xdr:pic>
      <xdr:nvPicPr>
        <xdr:cNvPr id="111" name="Imagem 9" descr="http://boletim.cpos.sp.gov.br/images/consultar.png"/>
        <xdr:cNvPicPr preferRelativeResize="1">
          <a:picLocks noChangeAspect="1"/>
        </xdr:cNvPicPr>
      </xdr:nvPicPr>
      <xdr:blipFill>
        <a:blip r:embed="rId1"/>
        <a:stretch>
          <a:fillRect/>
        </a:stretch>
      </xdr:blipFill>
      <xdr:spPr>
        <a:xfrm>
          <a:off x="8505825" y="11220450"/>
          <a:ext cx="171450" cy="333375"/>
        </a:xfrm>
        <a:prstGeom prst="rect">
          <a:avLst/>
        </a:prstGeom>
        <a:noFill/>
        <a:ln w="9525" cmpd="sng">
          <a:noFill/>
        </a:ln>
      </xdr:spPr>
    </xdr:pic>
    <xdr:clientData/>
  </xdr:twoCellAnchor>
  <xdr:twoCellAnchor editAs="oneCell">
    <xdr:from>
      <xdr:col>6</xdr:col>
      <xdr:colOff>0</xdr:colOff>
      <xdr:row>149</xdr:row>
      <xdr:rowOff>0</xdr:rowOff>
    </xdr:from>
    <xdr:to>
      <xdr:col>6</xdr:col>
      <xdr:colOff>171450</xdr:colOff>
      <xdr:row>291</xdr:row>
      <xdr:rowOff>9525</xdr:rowOff>
    </xdr:to>
    <xdr:pic>
      <xdr:nvPicPr>
        <xdr:cNvPr id="112" name="Imagem 11"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150</xdr:row>
      <xdr:rowOff>0</xdr:rowOff>
    </xdr:from>
    <xdr:to>
      <xdr:col>6</xdr:col>
      <xdr:colOff>171450</xdr:colOff>
      <xdr:row>291</xdr:row>
      <xdr:rowOff>9525</xdr:rowOff>
    </xdr:to>
    <xdr:pic>
      <xdr:nvPicPr>
        <xdr:cNvPr id="113" name="Imagem 12"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151</xdr:row>
      <xdr:rowOff>0</xdr:rowOff>
    </xdr:from>
    <xdr:to>
      <xdr:col>6</xdr:col>
      <xdr:colOff>171450</xdr:colOff>
      <xdr:row>291</xdr:row>
      <xdr:rowOff>9525</xdr:rowOff>
    </xdr:to>
    <xdr:pic>
      <xdr:nvPicPr>
        <xdr:cNvPr id="114" name="Imagem 13"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156</xdr:row>
      <xdr:rowOff>0</xdr:rowOff>
    </xdr:from>
    <xdr:to>
      <xdr:col>6</xdr:col>
      <xdr:colOff>171450</xdr:colOff>
      <xdr:row>291</xdr:row>
      <xdr:rowOff>0</xdr:rowOff>
    </xdr:to>
    <xdr:pic>
      <xdr:nvPicPr>
        <xdr:cNvPr id="115" name="Imagem 14"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157</xdr:row>
      <xdr:rowOff>0</xdr:rowOff>
    </xdr:from>
    <xdr:to>
      <xdr:col>6</xdr:col>
      <xdr:colOff>171450</xdr:colOff>
      <xdr:row>291</xdr:row>
      <xdr:rowOff>0</xdr:rowOff>
    </xdr:to>
    <xdr:pic>
      <xdr:nvPicPr>
        <xdr:cNvPr id="116" name="Imagem 15"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158</xdr:row>
      <xdr:rowOff>0</xdr:rowOff>
    </xdr:from>
    <xdr:to>
      <xdr:col>6</xdr:col>
      <xdr:colOff>171450</xdr:colOff>
      <xdr:row>291</xdr:row>
      <xdr:rowOff>0</xdr:rowOff>
    </xdr:to>
    <xdr:pic>
      <xdr:nvPicPr>
        <xdr:cNvPr id="117" name="Imagem 16"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163</xdr:row>
      <xdr:rowOff>0</xdr:rowOff>
    </xdr:from>
    <xdr:to>
      <xdr:col>6</xdr:col>
      <xdr:colOff>171450</xdr:colOff>
      <xdr:row>291</xdr:row>
      <xdr:rowOff>0</xdr:rowOff>
    </xdr:to>
    <xdr:pic>
      <xdr:nvPicPr>
        <xdr:cNvPr id="118" name="Imagem 17"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164</xdr:row>
      <xdr:rowOff>0</xdr:rowOff>
    </xdr:from>
    <xdr:to>
      <xdr:col>6</xdr:col>
      <xdr:colOff>171450</xdr:colOff>
      <xdr:row>291</xdr:row>
      <xdr:rowOff>0</xdr:rowOff>
    </xdr:to>
    <xdr:pic>
      <xdr:nvPicPr>
        <xdr:cNvPr id="119" name="Imagem 18"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165</xdr:row>
      <xdr:rowOff>0</xdr:rowOff>
    </xdr:from>
    <xdr:to>
      <xdr:col>6</xdr:col>
      <xdr:colOff>171450</xdr:colOff>
      <xdr:row>291</xdr:row>
      <xdr:rowOff>0</xdr:rowOff>
    </xdr:to>
    <xdr:pic>
      <xdr:nvPicPr>
        <xdr:cNvPr id="120" name="Imagem 19"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167</xdr:row>
      <xdr:rowOff>0</xdr:rowOff>
    </xdr:from>
    <xdr:to>
      <xdr:col>6</xdr:col>
      <xdr:colOff>171450</xdr:colOff>
      <xdr:row>290</xdr:row>
      <xdr:rowOff>19050</xdr:rowOff>
    </xdr:to>
    <xdr:pic>
      <xdr:nvPicPr>
        <xdr:cNvPr id="121" name="Imagem 21" descr="http://boletim.cpos.sp.gov.br/images/consultar.png"/>
        <xdr:cNvPicPr preferRelativeResize="1">
          <a:picLocks noChangeAspect="1"/>
        </xdr:cNvPicPr>
      </xdr:nvPicPr>
      <xdr:blipFill>
        <a:blip r:embed="rId1"/>
        <a:stretch>
          <a:fillRect/>
        </a:stretch>
      </xdr:blipFill>
      <xdr:spPr>
        <a:xfrm>
          <a:off x="8505825" y="11220450"/>
          <a:ext cx="171450" cy="19050"/>
        </a:xfrm>
        <a:prstGeom prst="rect">
          <a:avLst/>
        </a:prstGeom>
        <a:noFill/>
        <a:ln w="9525" cmpd="sng">
          <a:noFill/>
        </a:ln>
      </xdr:spPr>
    </xdr:pic>
    <xdr:clientData/>
  </xdr:twoCellAnchor>
  <xdr:twoCellAnchor editAs="oneCell">
    <xdr:from>
      <xdr:col>6</xdr:col>
      <xdr:colOff>0</xdr:colOff>
      <xdr:row>168</xdr:row>
      <xdr:rowOff>0</xdr:rowOff>
    </xdr:from>
    <xdr:to>
      <xdr:col>6</xdr:col>
      <xdr:colOff>171450</xdr:colOff>
      <xdr:row>291</xdr:row>
      <xdr:rowOff>0</xdr:rowOff>
    </xdr:to>
    <xdr:pic>
      <xdr:nvPicPr>
        <xdr:cNvPr id="122" name="Imagem 22"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178</xdr:row>
      <xdr:rowOff>0</xdr:rowOff>
    </xdr:from>
    <xdr:to>
      <xdr:col>6</xdr:col>
      <xdr:colOff>171450</xdr:colOff>
      <xdr:row>291</xdr:row>
      <xdr:rowOff>0</xdr:rowOff>
    </xdr:to>
    <xdr:pic>
      <xdr:nvPicPr>
        <xdr:cNvPr id="123" name="Imagem 23"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179</xdr:row>
      <xdr:rowOff>0</xdr:rowOff>
    </xdr:from>
    <xdr:to>
      <xdr:col>6</xdr:col>
      <xdr:colOff>171450</xdr:colOff>
      <xdr:row>291</xdr:row>
      <xdr:rowOff>0</xdr:rowOff>
    </xdr:to>
    <xdr:pic>
      <xdr:nvPicPr>
        <xdr:cNvPr id="124" name="Imagem 24"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180</xdr:row>
      <xdr:rowOff>0</xdr:rowOff>
    </xdr:from>
    <xdr:to>
      <xdr:col>6</xdr:col>
      <xdr:colOff>171450</xdr:colOff>
      <xdr:row>291</xdr:row>
      <xdr:rowOff>9525</xdr:rowOff>
    </xdr:to>
    <xdr:pic>
      <xdr:nvPicPr>
        <xdr:cNvPr id="125" name="Imagem 25"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181</xdr:row>
      <xdr:rowOff>0</xdr:rowOff>
    </xdr:from>
    <xdr:to>
      <xdr:col>6</xdr:col>
      <xdr:colOff>171450</xdr:colOff>
      <xdr:row>291</xdr:row>
      <xdr:rowOff>9525</xdr:rowOff>
    </xdr:to>
    <xdr:pic>
      <xdr:nvPicPr>
        <xdr:cNvPr id="126" name="Imagem 26"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182</xdr:row>
      <xdr:rowOff>0</xdr:rowOff>
    </xdr:from>
    <xdr:to>
      <xdr:col>6</xdr:col>
      <xdr:colOff>171450</xdr:colOff>
      <xdr:row>291</xdr:row>
      <xdr:rowOff>0</xdr:rowOff>
    </xdr:to>
    <xdr:pic>
      <xdr:nvPicPr>
        <xdr:cNvPr id="127" name="Imagem 27"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182</xdr:row>
      <xdr:rowOff>0</xdr:rowOff>
    </xdr:from>
    <xdr:to>
      <xdr:col>6</xdr:col>
      <xdr:colOff>171450</xdr:colOff>
      <xdr:row>291</xdr:row>
      <xdr:rowOff>9525</xdr:rowOff>
    </xdr:to>
    <xdr:pic>
      <xdr:nvPicPr>
        <xdr:cNvPr id="128" name="Imagem 28" descr="http://boletim.cpos.sp.gov.br/images/consultar.png"/>
        <xdr:cNvPicPr preferRelativeResize="1">
          <a:picLocks noChangeAspect="1"/>
        </xdr:cNvPicPr>
      </xdr:nvPicPr>
      <xdr:blipFill>
        <a:blip r:embed="rId1"/>
        <a:stretch>
          <a:fillRect/>
        </a:stretch>
      </xdr:blipFill>
      <xdr:spPr>
        <a:xfrm>
          <a:off x="8505825" y="11220450"/>
          <a:ext cx="171450" cy="171450"/>
        </a:xfrm>
        <a:prstGeom prst="rect">
          <a:avLst/>
        </a:prstGeom>
        <a:noFill/>
        <a:ln w="9525" cmpd="sng">
          <a:noFill/>
        </a:ln>
      </xdr:spPr>
    </xdr:pic>
    <xdr:clientData/>
  </xdr:twoCellAnchor>
  <xdr:twoCellAnchor editAs="oneCell">
    <xdr:from>
      <xdr:col>6</xdr:col>
      <xdr:colOff>0</xdr:colOff>
      <xdr:row>182</xdr:row>
      <xdr:rowOff>0</xdr:rowOff>
    </xdr:from>
    <xdr:to>
      <xdr:col>6</xdr:col>
      <xdr:colOff>171450</xdr:colOff>
      <xdr:row>291</xdr:row>
      <xdr:rowOff>0</xdr:rowOff>
    </xdr:to>
    <xdr:pic>
      <xdr:nvPicPr>
        <xdr:cNvPr id="129" name="Imagem 29"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182</xdr:row>
      <xdr:rowOff>0</xdr:rowOff>
    </xdr:from>
    <xdr:to>
      <xdr:col>6</xdr:col>
      <xdr:colOff>171450</xdr:colOff>
      <xdr:row>291</xdr:row>
      <xdr:rowOff>0</xdr:rowOff>
    </xdr:to>
    <xdr:pic>
      <xdr:nvPicPr>
        <xdr:cNvPr id="130" name="Imagem 30"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182</xdr:row>
      <xdr:rowOff>0</xdr:rowOff>
    </xdr:from>
    <xdr:to>
      <xdr:col>6</xdr:col>
      <xdr:colOff>171450</xdr:colOff>
      <xdr:row>291</xdr:row>
      <xdr:rowOff>0</xdr:rowOff>
    </xdr:to>
    <xdr:pic>
      <xdr:nvPicPr>
        <xdr:cNvPr id="131" name="Imagem 31"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182</xdr:row>
      <xdr:rowOff>0</xdr:rowOff>
    </xdr:from>
    <xdr:to>
      <xdr:col>6</xdr:col>
      <xdr:colOff>171450</xdr:colOff>
      <xdr:row>291</xdr:row>
      <xdr:rowOff>0</xdr:rowOff>
    </xdr:to>
    <xdr:pic>
      <xdr:nvPicPr>
        <xdr:cNvPr id="132" name="Imagem 32"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twoCellAnchor editAs="oneCell">
    <xdr:from>
      <xdr:col>6</xdr:col>
      <xdr:colOff>0</xdr:colOff>
      <xdr:row>182</xdr:row>
      <xdr:rowOff>0</xdr:rowOff>
    </xdr:from>
    <xdr:to>
      <xdr:col>6</xdr:col>
      <xdr:colOff>171450</xdr:colOff>
      <xdr:row>291</xdr:row>
      <xdr:rowOff>0</xdr:rowOff>
    </xdr:to>
    <xdr:pic>
      <xdr:nvPicPr>
        <xdr:cNvPr id="133" name="Imagem 33" descr="http://boletim.cpos.sp.gov.br/images/consultar.png"/>
        <xdr:cNvPicPr preferRelativeResize="1">
          <a:picLocks noChangeAspect="1"/>
        </xdr:cNvPicPr>
      </xdr:nvPicPr>
      <xdr:blipFill>
        <a:blip r:embed="rId1"/>
        <a:stretch>
          <a:fillRect/>
        </a:stretch>
      </xdr:blipFill>
      <xdr:spPr>
        <a:xfrm>
          <a:off x="8505825" y="11220450"/>
          <a:ext cx="1714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47"/>
  <sheetViews>
    <sheetView zoomScaleSheetLayoutView="100" zoomScalePageLayoutView="0" workbookViewId="0" topLeftCell="B1">
      <selection activeCell="D16" sqref="D16:E16"/>
    </sheetView>
  </sheetViews>
  <sheetFormatPr defaultColWidth="9.140625" defaultRowHeight="12.75"/>
  <cols>
    <col min="1" max="1" width="11.8515625" style="0" hidden="1" customWidth="1"/>
    <col min="2" max="2" width="25.00390625" style="0" customWidth="1"/>
    <col min="3" max="3" width="15.7109375" style="0" customWidth="1"/>
    <col min="4" max="4" width="8.28125" style="0" customWidth="1"/>
    <col min="5" max="5" width="26.57421875" style="0" customWidth="1"/>
  </cols>
  <sheetData>
    <row r="1" spans="1:5" ht="58.5" customHeight="1">
      <c r="A1" s="394" t="s">
        <v>88</v>
      </c>
      <c r="B1" s="395"/>
      <c r="C1" s="395"/>
      <c r="D1" s="395"/>
      <c r="E1" s="395"/>
    </row>
    <row r="2" spans="1:5" ht="15.75">
      <c r="A2" s="13"/>
      <c r="B2" s="1"/>
      <c r="C2" s="1"/>
      <c r="D2" s="1"/>
      <c r="E2" s="1"/>
    </row>
    <row r="3" spans="1:5" ht="13.5">
      <c r="A3" s="394" t="s">
        <v>360</v>
      </c>
      <c r="B3" s="395"/>
      <c r="C3" s="395"/>
      <c r="D3" s="395"/>
      <c r="E3" s="395"/>
    </row>
    <row r="4" spans="1:7" ht="12.75">
      <c r="A4" s="8"/>
      <c r="B4" s="7"/>
      <c r="C4" s="7"/>
      <c r="D4" s="7"/>
      <c r="E4" s="7"/>
      <c r="F4" s="7"/>
      <c r="G4" s="7"/>
    </row>
    <row r="5" spans="1:7" ht="24" customHeight="1">
      <c r="A5" s="400" t="s">
        <v>359</v>
      </c>
      <c r="B5" s="401"/>
      <c r="C5" s="401"/>
      <c r="D5" s="401"/>
      <c r="E5" s="401"/>
      <c r="F5" s="7"/>
      <c r="G5" s="7"/>
    </row>
    <row r="6" spans="1:7" ht="13.5" thickBot="1">
      <c r="A6" s="5"/>
      <c r="B6" s="7"/>
      <c r="C6" s="7"/>
      <c r="D6" s="7"/>
      <c r="E6" s="7"/>
      <c r="F6" s="7"/>
      <c r="G6" s="7"/>
    </row>
    <row r="7" spans="1:7" ht="13.5" thickBot="1">
      <c r="A7" s="396" t="s">
        <v>72</v>
      </c>
      <c r="B7" s="397"/>
      <c r="C7" s="398" t="s">
        <v>0</v>
      </c>
      <c r="D7" s="399"/>
      <c r="E7" s="7"/>
      <c r="F7" s="7"/>
      <c r="G7" s="7"/>
    </row>
    <row r="8" spans="1:7" ht="12.75">
      <c r="A8" s="5"/>
      <c r="B8" s="7"/>
      <c r="C8" s="7"/>
      <c r="D8" s="7"/>
      <c r="E8" s="7"/>
      <c r="F8" s="7"/>
      <c r="G8" s="7"/>
    </row>
    <row r="9" spans="1:7" ht="12.75">
      <c r="A9" s="380" t="s">
        <v>78</v>
      </c>
      <c r="B9" s="381"/>
      <c r="C9" s="381"/>
      <c r="D9" s="381"/>
      <c r="E9" s="381"/>
      <c r="F9" s="7"/>
      <c r="G9" s="7"/>
    </row>
    <row r="10" spans="1:7" ht="0.75" customHeight="1" thickBot="1">
      <c r="A10" s="10"/>
      <c r="B10" s="7"/>
      <c r="C10" s="7"/>
      <c r="D10" s="7"/>
      <c r="E10" s="7"/>
      <c r="F10" s="7"/>
      <c r="G10" s="7"/>
    </row>
    <row r="11" spans="1:7" ht="24" customHeight="1" thickBot="1">
      <c r="A11" s="382" t="s">
        <v>21</v>
      </c>
      <c r="B11" s="383"/>
      <c r="C11" s="384" t="s">
        <v>22</v>
      </c>
      <c r="D11" s="385"/>
      <c r="E11" s="386"/>
      <c r="F11" s="7"/>
      <c r="G11" s="7"/>
    </row>
    <row r="12" spans="1:7" ht="13.5" thickBot="1">
      <c r="A12" s="10"/>
      <c r="B12" s="7"/>
      <c r="C12" s="7"/>
      <c r="D12" s="7"/>
      <c r="E12" s="7"/>
      <c r="F12" s="7"/>
      <c r="G12" s="7"/>
    </row>
    <row r="13" spans="1:5" ht="25.5" customHeight="1">
      <c r="A13" s="387" t="s">
        <v>73</v>
      </c>
      <c r="B13" s="388"/>
      <c r="C13" s="27" t="s">
        <v>74</v>
      </c>
      <c r="D13" s="388" t="s">
        <v>85</v>
      </c>
      <c r="E13" s="389"/>
    </row>
    <row r="14" spans="1:5" ht="12.75">
      <c r="A14" s="280"/>
      <c r="B14" s="280" t="s">
        <v>40</v>
      </c>
      <c r="C14" s="281" t="s">
        <v>23</v>
      </c>
      <c r="D14" s="390">
        <v>2.22</v>
      </c>
      <c r="E14" s="391"/>
    </row>
    <row r="15" spans="1:5" ht="12.75" customHeight="1">
      <c r="A15" s="392" t="s">
        <v>41</v>
      </c>
      <c r="B15" s="393"/>
      <c r="C15" s="281" t="s">
        <v>24</v>
      </c>
      <c r="D15" s="390">
        <v>2.13</v>
      </c>
      <c r="E15" s="391"/>
    </row>
    <row r="16" spans="1:5" ht="12.75">
      <c r="A16" s="392" t="s">
        <v>43</v>
      </c>
      <c r="B16" s="393"/>
      <c r="C16" s="281" t="s">
        <v>25</v>
      </c>
      <c r="D16" s="378">
        <v>1.1</v>
      </c>
      <c r="E16" s="379"/>
    </row>
    <row r="17" spans="1:5" ht="12.75">
      <c r="A17" s="282" t="s">
        <v>369</v>
      </c>
      <c r="B17" s="283" t="s">
        <v>42</v>
      </c>
      <c r="C17" s="281" t="s">
        <v>24</v>
      </c>
      <c r="D17" s="378">
        <v>1.08</v>
      </c>
      <c r="E17" s="379"/>
    </row>
    <row r="18" spans="1:5" ht="12.75">
      <c r="A18" s="282"/>
      <c r="B18" s="283" t="s">
        <v>44</v>
      </c>
      <c r="C18" s="281" t="s">
        <v>26</v>
      </c>
      <c r="D18" s="378">
        <v>1.16</v>
      </c>
      <c r="E18" s="379"/>
    </row>
    <row r="19" spans="1:5" ht="12.75">
      <c r="A19" s="282"/>
      <c r="B19" s="283" t="s">
        <v>45</v>
      </c>
      <c r="C19" s="281" t="s">
        <v>27</v>
      </c>
      <c r="D19" s="378">
        <v>0.43</v>
      </c>
      <c r="E19" s="379"/>
    </row>
    <row r="20" spans="1:5" ht="12.75">
      <c r="A20" s="282"/>
      <c r="B20" s="283" t="s">
        <v>46</v>
      </c>
      <c r="C20" s="281" t="s">
        <v>27</v>
      </c>
      <c r="D20" s="378">
        <v>0.54</v>
      </c>
      <c r="E20" s="379"/>
    </row>
    <row r="21" spans="1:5" ht="12.75">
      <c r="A21" s="392" t="s">
        <v>47</v>
      </c>
      <c r="B21" s="393"/>
      <c r="C21" s="281" t="s">
        <v>27</v>
      </c>
      <c r="D21" s="378">
        <v>1.03</v>
      </c>
      <c r="E21" s="379"/>
    </row>
    <row r="22" spans="1:5" ht="12" customHeight="1" thickBot="1">
      <c r="A22" s="416" t="s">
        <v>86</v>
      </c>
      <c r="B22" s="417"/>
      <c r="C22" s="417"/>
      <c r="D22" s="402">
        <f>SUM(D14:D21)</f>
        <v>9.69</v>
      </c>
      <c r="E22" s="403"/>
    </row>
    <row r="23" spans="1:7" ht="9.75" customHeight="1" hidden="1">
      <c r="A23" s="5"/>
      <c r="B23" s="7"/>
      <c r="C23" s="7"/>
      <c r="D23" s="7"/>
      <c r="E23" s="7"/>
      <c r="F23" s="18"/>
      <c r="G23" s="18"/>
    </row>
    <row r="24" spans="1:7" ht="13.5" thickBot="1">
      <c r="A24" s="418" t="s">
        <v>75</v>
      </c>
      <c r="B24" s="419"/>
      <c r="C24" s="419"/>
      <c r="D24" s="419"/>
      <c r="E24" s="419"/>
      <c r="F24" s="7"/>
      <c r="G24" s="7"/>
    </row>
    <row r="25" spans="1:7" ht="18" customHeight="1">
      <c r="A25" s="407" t="s">
        <v>39</v>
      </c>
      <c r="B25" s="408"/>
      <c r="C25" s="408"/>
      <c r="D25" s="408"/>
      <c r="E25" s="409"/>
      <c r="F25" s="7"/>
      <c r="G25" s="7"/>
    </row>
    <row r="26" spans="1:7" ht="18" customHeight="1">
      <c r="A26" s="410"/>
      <c r="B26" s="411"/>
      <c r="C26" s="411"/>
      <c r="D26" s="411"/>
      <c r="E26" s="412"/>
      <c r="F26" s="7"/>
      <c r="G26" s="7"/>
    </row>
    <row r="27" spans="1:7" ht="18" customHeight="1">
      <c r="A27" s="410"/>
      <c r="B27" s="411"/>
      <c r="C27" s="411"/>
      <c r="D27" s="411"/>
      <c r="E27" s="412"/>
      <c r="F27" s="7"/>
      <c r="G27" s="7"/>
    </row>
    <row r="28" spans="1:7" ht="18" customHeight="1">
      <c r="A28" s="410"/>
      <c r="B28" s="411"/>
      <c r="C28" s="411"/>
      <c r="D28" s="411"/>
      <c r="E28" s="412"/>
      <c r="F28" s="7"/>
      <c r="G28" s="7"/>
    </row>
    <row r="29" spans="1:7" ht="150.75" customHeight="1" thickBot="1">
      <c r="A29" s="413"/>
      <c r="B29" s="414"/>
      <c r="C29" s="414"/>
      <c r="D29" s="414"/>
      <c r="E29" s="415"/>
      <c r="F29" s="7"/>
      <c r="G29" s="7"/>
    </row>
    <row r="30" spans="1:7" ht="12.75" hidden="1">
      <c r="A30" s="8"/>
      <c r="B30" s="7"/>
      <c r="C30" s="7"/>
      <c r="D30" s="7"/>
      <c r="E30" s="7"/>
      <c r="F30" s="7"/>
      <c r="G30" s="7"/>
    </row>
    <row r="31" spans="1:7" ht="12.75" customHeight="1" thickBot="1">
      <c r="A31" s="380" t="s">
        <v>76</v>
      </c>
      <c r="B31" s="381"/>
      <c r="C31" s="381"/>
      <c r="D31" s="381"/>
      <c r="E31" s="381"/>
      <c r="F31" s="7"/>
      <c r="G31" s="7"/>
    </row>
    <row r="32" spans="1:7" ht="6.75" customHeight="1" hidden="1" thickBot="1">
      <c r="A32" s="8"/>
      <c r="B32" s="7"/>
      <c r="C32" s="7"/>
      <c r="D32" s="7"/>
      <c r="E32" s="7"/>
      <c r="F32" s="7"/>
      <c r="G32" s="7"/>
    </row>
    <row r="33" spans="1:7" ht="297" customHeight="1" thickBot="1">
      <c r="A33" s="404"/>
      <c r="B33" s="405"/>
      <c r="C33" s="405"/>
      <c r="D33" s="405"/>
      <c r="E33" s="406"/>
      <c r="F33" s="7"/>
      <c r="G33" s="7"/>
    </row>
    <row r="34" spans="1:7" ht="12.75" hidden="1">
      <c r="A34" s="26"/>
      <c r="B34" s="9"/>
      <c r="C34" s="9"/>
      <c r="D34" s="9"/>
      <c r="E34" s="9"/>
      <c r="F34" s="7"/>
      <c r="G34" s="7"/>
    </row>
    <row r="35" spans="1:5" ht="12.75" hidden="1">
      <c r="A35" s="26"/>
      <c r="B35" s="9"/>
      <c r="C35" s="9"/>
      <c r="D35" s="9"/>
      <c r="E35" s="9"/>
    </row>
    <row r="36" spans="1:5" ht="15" customHeight="1" hidden="1">
      <c r="A36" s="24"/>
      <c r="B36" s="25"/>
      <c r="C36" s="25"/>
      <c r="D36" s="25"/>
      <c r="E36" s="25"/>
    </row>
    <row r="37" ht="15.75">
      <c r="A37" s="3"/>
    </row>
    <row r="38" ht="15.75">
      <c r="A38" s="3"/>
    </row>
    <row r="39" ht="15.75">
      <c r="A39" s="3"/>
    </row>
    <row r="40" ht="15">
      <c r="A40" s="2"/>
    </row>
    <row r="41" ht="15">
      <c r="A41" s="2"/>
    </row>
    <row r="42" ht="15">
      <c r="A42" s="2"/>
    </row>
    <row r="43" ht="15">
      <c r="A43" s="2"/>
    </row>
    <row r="44" ht="15">
      <c r="A44" s="2"/>
    </row>
    <row r="45" ht="15">
      <c r="A45" s="2"/>
    </row>
    <row r="46" ht="15">
      <c r="A46" s="2"/>
    </row>
    <row r="47" ht="15.75">
      <c r="A47" s="3"/>
    </row>
  </sheetData>
  <sheetProtection/>
  <mergeCells count="27">
    <mergeCell ref="D22:E22"/>
    <mergeCell ref="A15:B15"/>
    <mergeCell ref="D15:E15"/>
    <mergeCell ref="A33:E33"/>
    <mergeCell ref="A31:E31"/>
    <mergeCell ref="A25:E29"/>
    <mergeCell ref="D16:E16"/>
    <mergeCell ref="A22:C22"/>
    <mergeCell ref="A24:E24"/>
    <mergeCell ref="D20:E20"/>
    <mergeCell ref="A21:B21"/>
    <mergeCell ref="D21:E21"/>
    <mergeCell ref="A16:B16"/>
    <mergeCell ref="D18:E18"/>
    <mergeCell ref="D19:E19"/>
    <mergeCell ref="A1:E1"/>
    <mergeCell ref="A7:B7"/>
    <mergeCell ref="C7:D7"/>
    <mergeCell ref="A3:E3"/>
    <mergeCell ref="A5:E5"/>
    <mergeCell ref="D17:E17"/>
    <mergeCell ref="A9:E9"/>
    <mergeCell ref="A11:B11"/>
    <mergeCell ref="C11:E11"/>
    <mergeCell ref="A13:B13"/>
    <mergeCell ref="D13:E13"/>
    <mergeCell ref="D14:E14"/>
  </mergeCells>
  <printOptions horizontalCentered="1" verticalCentered="1"/>
  <pageMargins left="1.220472440944882" right="0.2362204724409449" top="0.7480314960629921" bottom="0.7480314960629921" header="0.31496062992125984" footer="0.31496062992125984"/>
  <pageSetup fitToHeight="1" fitToWidth="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R16"/>
  <sheetViews>
    <sheetView view="pageBreakPreview" zoomScale="107" zoomScaleSheetLayoutView="107" zoomScalePageLayoutView="0" workbookViewId="0" topLeftCell="A1">
      <selection activeCell="H12" sqref="H12"/>
    </sheetView>
  </sheetViews>
  <sheetFormatPr defaultColWidth="8.7109375" defaultRowHeight="12.75"/>
  <cols>
    <col min="1" max="1" width="20.28125" style="0" customWidth="1"/>
    <col min="2" max="2" width="15.7109375" style="0" customWidth="1"/>
    <col min="3" max="3" width="22.28125" style="0" customWidth="1"/>
    <col min="4" max="4" width="14.28125" style="0" customWidth="1"/>
    <col min="5" max="7" width="10.28125" style="0" customWidth="1"/>
    <col min="8" max="8" width="13.28125" style="0" customWidth="1"/>
    <col min="9" max="10" width="5.8515625" style="0" customWidth="1"/>
    <col min="11" max="11" width="5.7109375" style="0" customWidth="1"/>
    <col min="12" max="12" width="5.8515625" style="0" customWidth="1"/>
    <col min="13" max="13" width="6.421875" style="0" customWidth="1"/>
    <col min="14" max="15" width="6.57421875" style="0" customWidth="1"/>
    <col min="16" max="16" width="6.140625" style="0" customWidth="1"/>
    <col min="17" max="17" width="8.28125" style="0" customWidth="1"/>
    <col min="18" max="18" width="8.7109375" style="0" customWidth="1"/>
    <col min="19" max="19" width="14.7109375" style="0" customWidth="1"/>
  </cols>
  <sheetData>
    <row r="1" spans="1:2" ht="12.75">
      <c r="A1" s="4" t="s">
        <v>231</v>
      </c>
      <c r="B1" s="5"/>
    </row>
    <row r="2" spans="1:18" ht="13.5" thickBot="1">
      <c r="A2" s="421" t="s">
        <v>232</v>
      </c>
      <c r="B2" s="422"/>
      <c r="C2" s="422"/>
      <c r="D2" s="423"/>
      <c r="E2" s="423"/>
      <c r="F2" s="28"/>
      <c r="G2" s="28"/>
      <c r="H2" s="11"/>
      <c r="I2" s="11"/>
      <c r="J2" s="11"/>
      <c r="K2" s="11"/>
      <c r="L2" s="11"/>
      <c r="M2" s="5"/>
      <c r="N2" s="5"/>
      <c r="O2" s="5"/>
      <c r="P2" s="5"/>
      <c r="Q2" s="5"/>
      <c r="R2" s="5"/>
    </row>
    <row r="3" spans="1:18" ht="24">
      <c r="A3" s="65" t="s">
        <v>230</v>
      </c>
      <c r="B3" s="101" t="s">
        <v>229</v>
      </c>
      <c r="C3" s="17" t="s">
        <v>154</v>
      </c>
      <c r="D3" s="32"/>
      <c r="E3" s="32"/>
      <c r="F3" s="29"/>
      <c r="G3" s="29"/>
      <c r="H3" s="11"/>
      <c r="I3" s="11"/>
      <c r="J3" s="11"/>
      <c r="K3" s="11"/>
      <c r="L3" s="11"/>
      <c r="M3" s="5"/>
      <c r="N3" s="5"/>
      <c r="O3" s="5"/>
      <c r="P3" s="5"/>
      <c r="Q3" s="5"/>
      <c r="R3" s="5"/>
    </row>
    <row r="4" spans="1:18" ht="12.75">
      <c r="A4" s="23" t="s">
        <v>81</v>
      </c>
      <c r="B4" s="429" t="e">
        <f>#REF!+#REF!+#REF!+#REF!+#REF!+#REF!+#REF!+#REF!</f>
        <v>#REF!</v>
      </c>
      <c r="C4" s="66">
        <f>'Quantitativo Obra'!W28</f>
        <v>244013.59399999995</v>
      </c>
      <c r="D4" s="64"/>
      <c r="E4" s="427"/>
      <c r="F4" s="30"/>
      <c r="G4" s="30"/>
      <c r="H4" s="11"/>
      <c r="I4" s="11"/>
      <c r="J4" s="11"/>
      <c r="K4" s="11"/>
      <c r="L4" s="11"/>
      <c r="M4" s="5"/>
      <c r="N4" s="5"/>
      <c r="O4" s="5"/>
      <c r="P4" s="5"/>
      <c r="Q4" s="5"/>
      <c r="R4" s="5"/>
    </row>
    <row r="5" spans="1:18" ht="26.25" customHeight="1">
      <c r="A5" s="23" t="s">
        <v>82</v>
      </c>
      <c r="B5" s="430"/>
      <c r="C5" s="66">
        <f>'Quantitativo Obra'!W71</f>
        <v>55581.36</v>
      </c>
      <c r="D5" s="64"/>
      <c r="E5" s="427"/>
      <c r="F5" s="30"/>
      <c r="G5" s="30"/>
      <c r="H5" s="11"/>
      <c r="I5" s="11"/>
      <c r="J5" s="11"/>
      <c r="K5" s="11"/>
      <c r="L5" s="11"/>
      <c r="M5" s="5"/>
      <c r="N5" s="5"/>
      <c r="O5" s="5"/>
      <c r="P5" s="5"/>
      <c r="Q5" s="5"/>
      <c r="R5" s="5"/>
    </row>
    <row r="6" spans="1:18" ht="25.5" customHeight="1">
      <c r="A6" s="23" t="s">
        <v>79</v>
      </c>
      <c r="B6" s="430"/>
      <c r="C6" s="66">
        <f>'Quantitativo Obra'!W77</f>
        <v>334857.33</v>
      </c>
      <c r="D6" s="64"/>
      <c r="E6" s="427"/>
      <c r="F6" s="30"/>
      <c r="G6" s="30"/>
      <c r="H6" s="11"/>
      <c r="I6" s="11"/>
      <c r="J6" s="11"/>
      <c r="K6" s="11"/>
      <c r="L6" s="11"/>
      <c r="M6" s="5"/>
      <c r="N6" s="5"/>
      <c r="O6" s="5"/>
      <c r="P6" s="5"/>
      <c r="Q6" s="5"/>
      <c r="R6" s="5"/>
    </row>
    <row r="7" spans="1:18" ht="15" customHeight="1">
      <c r="A7" s="23" t="s">
        <v>64</v>
      </c>
      <c r="B7" s="430"/>
      <c r="C7" s="66">
        <f>'Quantitativo Obra'!W82</f>
        <v>17956.693199999998</v>
      </c>
      <c r="D7" s="64"/>
      <c r="E7" s="427"/>
      <c r="F7" s="30"/>
      <c r="G7" s="30"/>
      <c r="H7" s="11"/>
      <c r="I7" s="11"/>
      <c r="J7" s="11"/>
      <c r="K7" s="11"/>
      <c r="L7" s="11"/>
      <c r="M7" s="5"/>
      <c r="N7" s="5"/>
      <c r="O7" s="5"/>
      <c r="P7" s="5"/>
      <c r="Q7" s="5"/>
      <c r="R7" s="5"/>
    </row>
    <row r="8" spans="1:18" ht="36" customHeight="1">
      <c r="A8" s="23" t="s">
        <v>328</v>
      </c>
      <c r="B8" s="431"/>
      <c r="C8" s="66">
        <f>'Quantitativo Obra'!W90</f>
        <v>3462.88</v>
      </c>
      <c r="D8" s="64"/>
      <c r="E8" s="428"/>
      <c r="F8" s="31"/>
      <c r="G8" s="31"/>
      <c r="H8" s="11"/>
      <c r="I8" s="11"/>
      <c r="J8" s="11"/>
      <c r="K8" s="11"/>
      <c r="L8" s="11"/>
      <c r="M8" s="5"/>
      <c r="N8" s="5"/>
      <c r="O8" s="5"/>
      <c r="P8" s="5"/>
      <c r="Q8" s="5"/>
      <c r="R8" s="5"/>
    </row>
    <row r="9" spans="1:18" ht="23.25" customHeight="1">
      <c r="A9" s="23" t="s">
        <v>20</v>
      </c>
      <c r="B9" s="432"/>
      <c r="C9" s="99">
        <f>'Quantitativo Obra'!W93</f>
        <v>6262</v>
      </c>
      <c r="D9" s="64"/>
      <c r="E9" s="31"/>
      <c r="F9" s="31"/>
      <c r="G9" s="31"/>
      <c r="H9" s="11"/>
      <c r="I9" s="11"/>
      <c r="J9" s="11"/>
      <c r="K9" s="11"/>
      <c r="L9" s="11"/>
      <c r="M9" s="5"/>
      <c r="N9" s="5"/>
      <c r="O9" s="5"/>
      <c r="P9" s="5"/>
      <c r="Q9" s="5"/>
      <c r="R9" s="5"/>
    </row>
    <row r="10" spans="1:18" ht="13.5" thickBot="1">
      <c r="A10" s="424" t="s">
        <v>71</v>
      </c>
      <c r="B10" s="425"/>
      <c r="C10" s="67">
        <f>SUM(C4:C9)</f>
        <v>662133.8572</v>
      </c>
      <c r="D10" s="9"/>
      <c r="E10" s="9"/>
      <c r="F10" s="9"/>
      <c r="G10" s="9"/>
      <c r="H10" s="11"/>
      <c r="I10" s="11"/>
      <c r="J10" s="11"/>
      <c r="K10" s="11"/>
      <c r="L10" s="11"/>
      <c r="M10" s="5"/>
      <c r="N10" s="5"/>
      <c r="O10" s="5"/>
      <c r="P10" s="5"/>
      <c r="Q10" s="5"/>
      <c r="R10" s="5"/>
    </row>
    <row r="12" ht="12.75">
      <c r="A12" s="4" t="s">
        <v>233</v>
      </c>
    </row>
    <row r="13" ht="13.5" thickBot="1"/>
    <row r="14" spans="1:7" ht="12.75">
      <c r="A14" s="387" t="s">
        <v>87</v>
      </c>
      <c r="B14" s="388"/>
      <c r="C14" s="16" t="s">
        <v>63</v>
      </c>
      <c r="D14" s="17" t="s">
        <v>83</v>
      </c>
      <c r="E14" s="12"/>
      <c r="F14" s="12"/>
      <c r="G14" s="12"/>
    </row>
    <row r="15" spans="1:4" ht="12.75" customHeight="1">
      <c r="A15" s="426" t="s">
        <v>77</v>
      </c>
      <c r="B15" s="420"/>
      <c r="C15" s="21">
        <f>C10</f>
        <v>662133.8572</v>
      </c>
      <c r="D15" s="20">
        <f>C15</f>
        <v>662133.8572</v>
      </c>
    </row>
    <row r="16" spans="1:4" ht="13.5" thickBot="1">
      <c r="A16" s="416" t="s">
        <v>65</v>
      </c>
      <c r="B16" s="417"/>
      <c r="C16" s="22">
        <f>SUM(C15:C15)</f>
        <v>662133.8572</v>
      </c>
      <c r="D16" s="19">
        <f>SUM(D15:D15)</f>
        <v>662133.8572</v>
      </c>
    </row>
  </sheetData>
  <sheetProtection/>
  <mergeCells count="7">
    <mergeCell ref="A2:E2"/>
    <mergeCell ref="A10:B10"/>
    <mergeCell ref="A16:B16"/>
    <mergeCell ref="A15:B15"/>
    <mergeCell ref="A14:B14"/>
    <mergeCell ref="E4:E8"/>
    <mergeCell ref="B4:B9"/>
  </mergeCells>
  <printOptions horizontalCentered="1" verticalCentered="1"/>
  <pageMargins left="1.1811023622047245" right="0.5905511811023623"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2:Z107"/>
  <sheetViews>
    <sheetView tabSelected="1" view="pageBreakPreview" zoomScaleNormal="80" zoomScaleSheetLayoutView="100" zoomScalePageLayoutView="0" workbookViewId="0" topLeftCell="A1">
      <selection activeCell="B101" sqref="B101"/>
    </sheetView>
  </sheetViews>
  <sheetFormatPr defaultColWidth="9.140625" defaultRowHeight="12.75"/>
  <cols>
    <col min="1" max="2" width="19.7109375" style="0" customWidth="1"/>
    <col min="3" max="3" width="17.8515625" style="0" customWidth="1"/>
    <col min="4" max="4" width="0" style="0" hidden="1" customWidth="1"/>
    <col min="5" max="5" width="12.7109375" style="0" customWidth="1"/>
    <col min="6" max="6" width="14.28125" style="0" customWidth="1"/>
    <col min="7" max="7" width="12.7109375" style="0" customWidth="1"/>
    <col min="8" max="8" width="17.00390625" style="0" customWidth="1"/>
    <col min="9" max="22" width="12.7109375" style="0" customWidth="1"/>
    <col min="23" max="23" width="15.8515625" style="0" customWidth="1"/>
    <col min="24" max="24" width="16.421875" style="0" customWidth="1"/>
    <col min="25" max="25" width="12.00390625" style="0" customWidth="1"/>
    <col min="26" max="26" width="21.8515625" style="0" customWidth="1"/>
  </cols>
  <sheetData>
    <row r="1" ht="13.5" thickBot="1"/>
    <row r="2" spans="1:25" ht="13.5" customHeight="1" thickTop="1">
      <c r="A2" s="487"/>
      <c r="B2" s="488"/>
      <c r="C2" s="489"/>
      <c r="D2" s="487" t="s">
        <v>89</v>
      </c>
      <c r="E2" s="475" t="s">
        <v>90</v>
      </c>
      <c r="F2" s="476"/>
      <c r="G2" s="476"/>
      <c r="H2" s="476"/>
      <c r="I2" s="476"/>
      <c r="J2" s="476"/>
      <c r="K2" s="476"/>
      <c r="L2" s="476"/>
      <c r="M2" s="476"/>
      <c r="N2" s="476"/>
      <c r="O2" s="476"/>
      <c r="P2" s="476"/>
      <c r="Q2" s="476"/>
      <c r="R2" s="476"/>
      <c r="S2" s="476"/>
      <c r="T2" s="477"/>
      <c r="U2" s="481" t="s">
        <v>122</v>
      </c>
      <c r="V2" s="484" t="s">
        <v>132</v>
      </c>
      <c r="W2" s="96"/>
      <c r="X2" s="524" t="s">
        <v>212</v>
      </c>
      <c r="Y2" s="478" t="s">
        <v>264</v>
      </c>
    </row>
    <row r="3" spans="1:25" ht="12.75" customHeight="1" thickBot="1">
      <c r="A3" s="490"/>
      <c r="B3" s="491"/>
      <c r="C3" s="492"/>
      <c r="D3" s="490"/>
      <c r="E3" s="434" t="s">
        <v>91</v>
      </c>
      <c r="F3" s="435"/>
      <c r="G3" s="436" t="s">
        <v>92</v>
      </c>
      <c r="H3" s="437"/>
      <c r="I3" s="436" t="s">
        <v>93</v>
      </c>
      <c r="J3" s="437"/>
      <c r="K3" s="436" t="s">
        <v>94</v>
      </c>
      <c r="L3" s="437"/>
      <c r="M3" s="436" t="s">
        <v>95</v>
      </c>
      <c r="N3" s="437"/>
      <c r="O3" s="434" t="s">
        <v>96</v>
      </c>
      <c r="P3" s="435"/>
      <c r="Q3" s="434" t="s">
        <v>97</v>
      </c>
      <c r="R3" s="435"/>
      <c r="S3" s="434" t="s">
        <v>98</v>
      </c>
      <c r="T3" s="542"/>
      <c r="U3" s="482"/>
      <c r="V3" s="485"/>
      <c r="W3" s="493" t="s">
        <v>123</v>
      </c>
      <c r="X3" s="525"/>
      <c r="Y3" s="479"/>
    </row>
    <row r="4" spans="1:25" ht="14.25" thickBot="1" thickTop="1">
      <c r="A4" s="97" t="s">
        <v>99</v>
      </c>
      <c r="B4" s="112"/>
      <c r="C4" s="98" t="s">
        <v>100</v>
      </c>
      <c r="D4" s="523"/>
      <c r="E4" s="436">
        <f>Identificação!D14</f>
        <v>2.22</v>
      </c>
      <c r="F4" s="437"/>
      <c r="G4" s="436">
        <f>Identificação!D15</f>
        <v>2.13</v>
      </c>
      <c r="H4" s="437"/>
      <c r="I4" s="436">
        <f>Identificação!D16</f>
        <v>1.1</v>
      </c>
      <c r="J4" s="437"/>
      <c r="K4" s="436">
        <f>Identificação!D17</f>
        <v>1.08</v>
      </c>
      <c r="L4" s="437"/>
      <c r="M4" s="436">
        <f>Identificação!D18</f>
        <v>1.16</v>
      </c>
      <c r="N4" s="437"/>
      <c r="O4" s="436">
        <f>Identificação!D19</f>
        <v>0.43</v>
      </c>
      <c r="P4" s="437"/>
      <c r="Q4" s="436">
        <f>Identificação!D20</f>
        <v>0.54</v>
      </c>
      <c r="R4" s="437"/>
      <c r="S4" s="436">
        <f>Identificação!D21</f>
        <v>1.03</v>
      </c>
      <c r="T4" s="437"/>
      <c r="U4" s="483"/>
      <c r="V4" s="486"/>
      <c r="W4" s="486"/>
      <c r="X4" s="526"/>
      <c r="Y4" s="480"/>
    </row>
    <row r="5" spans="1:24" ht="14.25" thickBot="1" thickTop="1">
      <c r="A5" s="159" t="s">
        <v>131</v>
      </c>
      <c r="B5" s="160"/>
      <c r="C5" s="160"/>
      <c r="D5" s="160"/>
      <c r="E5" s="160" t="s">
        <v>361</v>
      </c>
      <c r="F5" s="160" t="s">
        <v>63</v>
      </c>
      <c r="G5" s="160" t="s">
        <v>361</v>
      </c>
      <c r="H5" s="160" t="s">
        <v>63</v>
      </c>
      <c r="I5" s="160" t="s">
        <v>361</v>
      </c>
      <c r="J5" s="160" t="s">
        <v>63</v>
      </c>
      <c r="K5" s="160" t="s">
        <v>361</v>
      </c>
      <c r="L5" s="160" t="s">
        <v>63</v>
      </c>
      <c r="M5" s="160" t="s">
        <v>361</v>
      </c>
      <c r="N5" s="160" t="s">
        <v>63</v>
      </c>
      <c r="O5" s="160" t="s">
        <v>361</v>
      </c>
      <c r="P5" s="160" t="s">
        <v>63</v>
      </c>
      <c r="Q5" s="160" t="s">
        <v>361</v>
      </c>
      <c r="R5" s="160" t="s">
        <v>63</v>
      </c>
      <c r="S5" s="160" t="s">
        <v>361</v>
      </c>
      <c r="T5" s="160" t="s">
        <v>63</v>
      </c>
      <c r="U5" s="160"/>
      <c r="V5" s="160"/>
      <c r="W5" s="161"/>
      <c r="X5" s="1"/>
    </row>
    <row r="6" spans="1:26" ht="40.5" customHeight="1" thickTop="1">
      <c r="A6" s="529" t="s">
        <v>101</v>
      </c>
      <c r="B6" s="533" t="s">
        <v>331</v>
      </c>
      <c r="C6" s="534"/>
      <c r="D6" s="39" t="s">
        <v>67</v>
      </c>
      <c r="E6" s="40">
        <v>966</v>
      </c>
      <c r="F6" s="167">
        <f aca="true" t="shared" si="0" ref="F6:F13">E6*V6</f>
        <v>15021.300000000001</v>
      </c>
      <c r="G6" s="39">
        <v>850</v>
      </c>
      <c r="H6" s="166">
        <f aca="true" t="shared" si="1" ref="H6:H13">G6*V6</f>
        <v>13217.5</v>
      </c>
      <c r="I6" s="39">
        <v>0</v>
      </c>
      <c r="J6" s="323">
        <f>I6*V6</f>
        <v>0</v>
      </c>
      <c r="K6" s="39">
        <v>0</v>
      </c>
      <c r="L6" s="323">
        <f>K6*V6</f>
        <v>0</v>
      </c>
      <c r="M6" s="39">
        <v>100</v>
      </c>
      <c r="N6" s="323">
        <f>M6*V6</f>
        <v>1555</v>
      </c>
      <c r="O6" s="39">
        <v>0</v>
      </c>
      <c r="P6" s="323">
        <f>O6*V6</f>
        <v>0</v>
      </c>
      <c r="Q6" s="39">
        <v>210</v>
      </c>
      <c r="R6" s="323">
        <f>Q6*V6</f>
        <v>3265.5</v>
      </c>
      <c r="S6" s="39">
        <v>0</v>
      </c>
      <c r="T6" s="323">
        <f>S6*V6</f>
        <v>0</v>
      </c>
      <c r="U6" s="346">
        <f>E6+G6+I6+K6+M6+O6+Q6+S6</f>
        <v>2126</v>
      </c>
      <c r="V6" s="244">
        <v>15.55</v>
      </c>
      <c r="W6" s="362">
        <f>U6*V6</f>
        <v>33059.3</v>
      </c>
      <c r="X6" s="71" t="s">
        <v>60</v>
      </c>
      <c r="Y6" s="278" t="s">
        <v>61</v>
      </c>
      <c r="Z6" s="51"/>
    </row>
    <row r="7" spans="1:26" ht="21" customHeight="1">
      <c r="A7" s="530"/>
      <c r="B7" s="468" t="s">
        <v>133</v>
      </c>
      <c r="C7" s="469"/>
      <c r="D7" s="34" t="s">
        <v>69</v>
      </c>
      <c r="E7" s="35">
        <v>0</v>
      </c>
      <c r="F7" s="181">
        <f t="shared" si="0"/>
        <v>0</v>
      </c>
      <c r="G7" s="34">
        <v>0</v>
      </c>
      <c r="H7" s="182">
        <f t="shared" si="1"/>
        <v>0</v>
      </c>
      <c r="I7" s="34">
        <v>0</v>
      </c>
      <c r="J7" s="324">
        <f aca="true" t="shared" si="2" ref="J7:J27">I7*V7</f>
        <v>0</v>
      </c>
      <c r="K7" s="34">
        <v>0</v>
      </c>
      <c r="L7" s="324">
        <f aca="true" t="shared" si="3" ref="L7:L27">K7*V7</f>
        <v>0</v>
      </c>
      <c r="M7" s="34">
        <v>0</v>
      </c>
      <c r="N7" s="324">
        <f aca="true" t="shared" si="4" ref="N7:N27">M7*V7</f>
        <v>0</v>
      </c>
      <c r="O7" s="34">
        <v>0</v>
      </c>
      <c r="P7" s="324">
        <f aca="true" t="shared" si="5" ref="P7:P27">O7*V7</f>
        <v>0</v>
      </c>
      <c r="Q7" s="104">
        <v>210</v>
      </c>
      <c r="R7" s="324">
        <f aca="true" t="shared" si="6" ref="R7:R27">Q7*V7</f>
        <v>130.2</v>
      </c>
      <c r="S7" s="34">
        <v>0</v>
      </c>
      <c r="T7" s="324">
        <f aca="true" t="shared" si="7" ref="T7:T27">S7*V7</f>
        <v>0</v>
      </c>
      <c r="U7" s="347">
        <f>E7+G7+I7+K7+M7+O7+Q7+S7</f>
        <v>210</v>
      </c>
      <c r="V7" s="50">
        <v>0.62</v>
      </c>
      <c r="W7" s="363">
        <f aca="true" t="shared" si="8" ref="W7:W12">U7*V7</f>
        <v>130.2</v>
      </c>
      <c r="X7" s="71" t="s">
        <v>60</v>
      </c>
      <c r="Y7" s="72" t="s">
        <v>265</v>
      </c>
      <c r="Z7" s="51"/>
    </row>
    <row r="8" spans="1:26" s="14" customFormat="1" ht="18" customHeight="1">
      <c r="A8" s="530"/>
      <c r="B8" s="497" t="s">
        <v>136</v>
      </c>
      <c r="C8" s="498"/>
      <c r="D8" s="104" t="s">
        <v>69</v>
      </c>
      <c r="E8" s="105">
        <v>1500</v>
      </c>
      <c r="F8" s="307">
        <f t="shared" si="0"/>
        <v>510.00000000000006</v>
      </c>
      <c r="G8" s="104">
        <v>1700</v>
      </c>
      <c r="H8" s="308">
        <f t="shared" si="1"/>
        <v>578</v>
      </c>
      <c r="I8" s="104">
        <v>1000</v>
      </c>
      <c r="J8" s="324">
        <f t="shared" si="2"/>
        <v>340</v>
      </c>
      <c r="K8" s="104">
        <v>540</v>
      </c>
      <c r="L8" s="324">
        <f t="shared" si="3"/>
        <v>183.60000000000002</v>
      </c>
      <c r="M8" s="104">
        <v>1030</v>
      </c>
      <c r="N8" s="324">
        <f t="shared" si="4"/>
        <v>350.20000000000005</v>
      </c>
      <c r="O8" s="104">
        <v>300</v>
      </c>
      <c r="P8" s="324">
        <f t="shared" si="5"/>
        <v>102.00000000000001</v>
      </c>
      <c r="Q8" s="104">
        <v>330</v>
      </c>
      <c r="R8" s="324">
        <f t="shared" si="6"/>
        <v>112.2</v>
      </c>
      <c r="S8" s="104">
        <v>960</v>
      </c>
      <c r="T8" s="324">
        <f t="shared" si="7"/>
        <v>326.40000000000003</v>
      </c>
      <c r="U8" s="347">
        <f aca="true" t="shared" si="9" ref="U8:U46">E8+G8+I8+K8+M8+O8+Q8+S8</f>
        <v>7360</v>
      </c>
      <c r="V8" s="106">
        <v>0.34</v>
      </c>
      <c r="W8" s="363">
        <f>U8*V8</f>
        <v>2502.4</v>
      </c>
      <c r="X8" s="309" t="s">
        <v>60</v>
      </c>
      <c r="Y8" s="310" t="s">
        <v>266</v>
      </c>
      <c r="Z8" s="311"/>
    </row>
    <row r="9" spans="1:26" ht="14.25" customHeight="1">
      <c r="A9" s="530"/>
      <c r="B9" s="449" t="s">
        <v>134</v>
      </c>
      <c r="C9" s="450"/>
      <c r="D9" s="34" t="s">
        <v>135</v>
      </c>
      <c r="E9" s="35">
        <v>0</v>
      </c>
      <c r="F9" s="181">
        <f t="shared" si="0"/>
        <v>0</v>
      </c>
      <c r="G9" s="34">
        <v>0</v>
      </c>
      <c r="H9" s="182">
        <f t="shared" si="1"/>
        <v>0</v>
      </c>
      <c r="I9" s="34">
        <v>0</v>
      </c>
      <c r="J9" s="324">
        <f t="shared" si="2"/>
        <v>0</v>
      </c>
      <c r="K9" s="34">
        <v>0</v>
      </c>
      <c r="L9" s="324">
        <f t="shared" si="3"/>
        <v>0</v>
      </c>
      <c r="M9" s="34">
        <v>0</v>
      </c>
      <c r="N9" s="324">
        <f t="shared" si="4"/>
        <v>0</v>
      </c>
      <c r="O9" s="34">
        <v>0</v>
      </c>
      <c r="P9" s="324">
        <f t="shared" si="5"/>
        <v>0</v>
      </c>
      <c r="Q9" s="34">
        <v>0</v>
      </c>
      <c r="R9" s="324">
        <f t="shared" si="6"/>
        <v>0</v>
      </c>
      <c r="S9" s="34">
        <v>0</v>
      </c>
      <c r="T9" s="324">
        <f t="shared" si="7"/>
        <v>0</v>
      </c>
      <c r="U9" s="347">
        <f t="shared" si="9"/>
        <v>0</v>
      </c>
      <c r="V9" s="50">
        <v>24.31</v>
      </c>
      <c r="W9" s="363">
        <f t="shared" si="8"/>
        <v>0</v>
      </c>
      <c r="X9" s="71" t="s">
        <v>60</v>
      </c>
      <c r="Y9" s="72" t="s">
        <v>267</v>
      </c>
      <c r="Z9" s="51"/>
    </row>
    <row r="10" spans="1:26" s="14" customFormat="1" ht="28.5" customHeight="1">
      <c r="A10" s="530"/>
      <c r="B10" s="441" t="s">
        <v>137</v>
      </c>
      <c r="C10" s="442"/>
      <c r="D10" s="104" t="s">
        <v>69</v>
      </c>
      <c r="E10" s="105">
        <f>((0.8*3)+3)*(2*1500)</f>
        <v>16200.000000000002</v>
      </c>
      <c r="F10" s="307">
        <f t="shared" si="0"/>
        <v>4212.000000000001</v>
      </c>
      <c r="G10" s="105">
        <f>((0.5*3)+3)*(2*1700)</f>
        <v>15300</v>
      </c>
      <c r="H10" s="308">
        <f t="shared" si="1"/>
        <v>3978</v>
      </c>
      <c r="I10" s="105">
        <f>((0.65*3)+3)*(2*1000)</f>
        <v>9900</v>
      </c>
      <c r="J10" s="324">
        <f t="shared" si="2"/>
        <v>2574</v>
      </c>
      <c r="K10" s="105">
        <f>((0.25*3)+3)*(2*800)</f>
        <v>6000</v>
      </c>
      <c r="L10" s="324">
        <f t="shared" si="3"/>
        <v>1560</v>
      </c>
      <c r="M10" s="105">
        <f>((0.3*3)+3)*(2*758)</f>
        <v>5912.4</v>
      </c>
      <c r="N10" s="324">
        <f t="shared" si="4"/>
        <v>1537.224</v>
      </c>
      <c r="O10" s="105">
        <f>((0.3*3)+3)*(2*430)</f>
        <v>3354</v>
      </c>
      <c r="P10" s="324">
        <f t="shared" si="5"/>
        <v>872.0400000000001</v>
      </c>
      <c r="Q10" s="105">
        <f>((0.5*3)+3)*(2*390)+((1*3)+3)*150</f>
        <v>4410</v>
      </c>
      <c r="R10" s="324">
        <f t="shared" si="6"/>
        <v>1146.6000000000001</v>
      </c>
      <c r="S10" s="105">
        <f>((0.25*3)+3)*(2*960)</f>
        <v>7200</v>
      </c>
      <c r="T10" s="324">
        <f t="shared" si="7"/>
        <v>1872</v>
      </c>
      <c r="U10" s="347">
        <f t="shared" si="9"/>
        <v>68276.4</v>
      </c>
      <c r="V10" s="106">
        <f>'Memorial Custo'!E4</f>
        <v>0.26</v>
      </c>
      <c r="W10" s="363">
        <f t="shared" si="8"/>
        <v>17751.863999999998</v>
      </c>
      <c r="X10" s="312" t="s">
        <v>279</v>
      </c>
      <c r="Y10" s="313" t="s">
        <v>280</v>
      </c>
      <c r="Z10" s="311"/>
    </row>
    <row r="11" spans="1:26" s="14" customFormat="1" ht="12.75">
      <c r="A11" s="530"/>
      <c r="B11" s="497" t="s">
        <v>139</v>
      </c>
      <c r="C11" s="499"/>
      <c r="D11" s="104" t="s">
        <v>68</v>
      </c>
      <c r="E11" s="314">
        <v>650</v>
      </c>
      <c r="F11" s="315">
        <f t="shared" si="0"/>
        <v>1709.5</v>
      </c>
      <c r="G11" s="316">
        <v>2230</v>
      </c>
      <c r="H11" s="317">
        <f t="shared" si="1"/>
        <v>5864.9</v>
      </c>
      <c r="I11" s="316">
        <v>969</v>
      </c>
      <c r="J11" s="325">
        <f t="shared" si="2"/>
        <v>2548.47</v>
      </c>
      <c r="K11" s="316">
        <v>250</v>
      </c>
      <c r="L11" s="325">
        <f t="shared" si="3"/>
        <v>657.5</v>
      </c>
      <c r="M11" s="316">
        <v>2850</v>
      </c>
      <c r="N11" s="325">
        <f t="shared" si="4"/>
        <v>7495.5</v>
      </c>
      <c r="O11" s="316">
        <v>225</v>
      </c>
      <c r="P11" s="325">
        <f t="shared" si="5"/>
        <v>591.75</v>
      </c>
      <c r="Q11" s="316">
        <v>250</v>
      </c>
      <c r="R11" s="325">
        <f t="shared" si="6"/>
        <v>657.5</v>
      </c>
      <c r="S11" s="316">
        <v>275</v>
      </c>
      <c r="T11" s="324">
        <f t="shared" si="7"/>
        <v>723.25</v>
      </c>
      <c r="U11" s="347">
        <f t="shared" si="9"/>
        <v>7699</v>
      </c>
      <c r="V11" s="106">
        <f>'Memorial Custo'!E7</f>
        <v>2.63</v>
      </c>
      <c r="W11" s="363">
        <f t="shared" si="8"/>
        <v>20248.37</v>
      </c>
      <c r="X11" s="312" t="s">
        <v>342</v>
      </c>
      <c r="Y11" s="313" t="s">
        <v>280</v>
      </c>
      <c r="Z11" s="311"/>
    </row>
    <row r="12" spans="1:26" s="14" customFormat="1" ht="12.75">
      <c r="A12" s="530"/>
      <c r="B12" s="441" t="s">
        <v>62</v>
      </c>
      <c r="C12" s="442"/>
      <c r="D12" s="104" t="s">
        <v>68</v>
      </c>
      <c r="E12" s="105">
        <v>0</v>
      </c>
      <c r="F12" s="307">
        <f t="shared" si="0"/>
        <v>0</v>
      </c>
      <c r="G12" s="104">
        <v>0</v>
      </c>
      <c r="H12" s="308">
        <f t="shared" si="1"/>
        <v>0</v>
      </c>
      <c r="I12" s="104">
        <v>0</v>
      </c>
      <c r="J12" s="324">
        <f t="shared" si="2"/>
        <v>0</v>
      </c>
      <c r="K12" s="104">
        <v>0</v>
      </c>
      <c r="L12" s="324">
        <f t="shared" si="3"/>
        <v>0</v>
      </c>
      <c r="M12" s="104">
        <v>0</v>
      </c>
      <c r="N12" s="324">
        <f t="shared" si="4"/>
        <v>0</v>
      </c>
      <c r="O12" s="104">
        <v>0</v>
      </c>
      <c r="P12" s="324">
        <f t="shared" si="5"/>
        <v>0</v>
      </c>
      <c r="Q12" s="104">
        <f>Q7*0.1</f>
        <v>21</v>
      </c>
      <c r="R12" s="324">
        <f t="shared" si="6"/>
        <v>55.65</v>
      </c>
      <c r="S12" s="104">
        <v>0</v>
      </c>
      <c r="T12" s="324">
        <f t="shared" si="7"/>
        <v>0</v>
      </c>
      <c r="U12" s="347">
        <f t="shared" si="9"/>
        <v>21</v>
      </c>
      <c r="V12" s="106">
        <v>2.65</v>
      </c>
      <c r="W12" s="363">
        <f t="shared" si="8"/>
        <v>55.65</v>
      </c>
      <c r="X12" s="309" t="s">
        <v>60</v>
      </c>
      <c r="Y12" s="310" t="s">
        <v>269</v>
      </c>
      <c r="Z12" s="311"/>
    </row>
    <row r="13" spans="1:26" s="14" customFormat="1" ht="12.75" hidden="1">
      <c r="A13" s="530"/>
      <c r="B13" s="441" t="s">
        <v>140</v>
      </c>
      <c r="C13" s="442"/>
      <c r="D13" s="104" t="s">
        <v>142</v>
      </c>
      <c r="E13" s="105">
        <v>0</v>
      </c>
      <c r="F13" s="307">
        <f t="shared" si="0"/>
        <v>0</v>
      </c>
      <c r="G13" s="104">
        <v>0</v>
      </c>
      <c r="H13" s="308">
        <f t="shared" si="1"/>
        <v>0</v>
      </c>
      <c r="I13" s="104">
        <v>0</v>
      </c>
      <c r="J13" s="324">
        <f t="shared" si="2"/>
        <v>0</v>
      </c>
      <c r="K13" s="104">
        <v>0</v>
      </c>
      <c r="L13" s="324">
        <f t="shared" si="3"/>
        <v>0</v>
      </c>
      <c r="M13" s="104">
        <v>0</v>
      </c>
      <c r="N13" s="324">
        <f t="shared" si="4"/>
        <v>0</v>
      </c>
      <c r="O13" s="104">
        <v>0</v>
      </c>
      <c r="P13" s="324">
        <f t="shared" si="5"/>
        <v>0</v>
      </c>
      <c r="Q13" s="104">
        <v>0</v>
      </c>
      <c r="R13" s="324">
        <f t="shared" si="6"/>
        <v>0</v>
      </c>
      <c r="S13" s="104">
        <v>0</v>
      </c>
      <c r="T13" s="324">
        <f t="shared" si="7"/>
        <v>0</v>
      </c>
      <c r="U13" s="347">
        <f t="shared" si="9"/>
        <v>0</v>
      </c>
      <c r="V13" s="106">
        <v>4.85</v>
      </c>
      <c r="W13" s="363">
        <f>V13*U13</f>
        <v>0</v>
      </c>
      <c r="X13" s="309" t="s">
        <v>60</v>
      </c>
      <c r="Y13" s="310" t="s">
        <v>271</v>
      </c>
      <c r="Z13" s="311"/>
    </row>
    <row r="14" spans="1:26" s="14" customFormat="1" ht="33.75" hidden="1">
      <c r="A14" s="530"/>
      <c r="B14" s="318" t="s">
        <v>354</v>
      </c>
      <c r="C14" s="318">
        <v>1.5</v>
      </c>
      <c r="D14" s="104" t="s">
        <v>142</v>
      </c>
      <c r="E14" s="105">
        <v>0</v>
      </c>
      <c r="F14" s="307">
        <f>E14*V14*C14</f>
        <v>0</v>
      </c>
      <c r="G14" s="104">
        <v>0</v>
      </c>
      <c r="H14" s="308">
        <f>G14*V14*C14</f>
        <v>0</v>
      </c>
      <c r="I14" s="104">
        <v>0</v>
      </c>
      <c r="J14" s="324">
        <f>I14*V14*C14</f>
        <v>0</v>
      </c>
      <c r="K14" s="104">
        <v>0</v>
      </c>
      <c r="L14" s="324">
        <f>K14*V14*C14</f>
        <v>0</v>
      </c>
      <c r="M14" s="104">
        <v>0</v>
      </c>
      <c r="N14" s="324">
        <f>M14*V14*C14</f>
        <v>0</v>
      </c>
      <c r="O14" s="104">
        <v>0</v>
      </c>
      <c r="P14" s="324">
        <f>O14*V14*C14</f>
        <v>0</v>
      </c>
      <c r="Q14" s="104">
        <v>0</v>
      </c>
      <c r="R14" s="324">
        <f>Q14*V14*C14</f>
        <v>0</v>
      </c>
      <c r="S14" s="104">
        <v>0</v>
      </c>
      <c r="T14" s="324">
        <f>S14*V14*C14</f>
        <v>0</v>
      </c>
      <c r="U14" s="347">
        <f t="shared" si="9"/>
        <v>0</v>
      </c>
      <c r="V14" s="106">
        <v>2.85</v>
      </c>
      <c r="W14" s="363">
        <f>V14*C14*U14</f>
        <v>0</v>
      </c>
      <c r="X14" s="309" t="s">
        <v>60</v>
      </c>
      <c r="Y14" s="310" t="s">
        <v>272</v>
      </c>
      <c r="Z14" s="311"/>
    </row>
    <row r="15" spans="1:26" s="14" customFormat="1" ht="33.75">
      <c r="A15" s="530"/>
      <c r="B15" s="318" t="s">
        <v>355</v>
      </c>
      <c r="C15" s="318">
        <v>3</v>
      </c>
      <c r="D15" s="104" t="s">
        <v>142</v>
      </c>
      <c r="E15" s="105">
        <f>E11</f>
        <v>650</v>
      </c>
      <c r="F15" s="307">
        <f>E15*V15*C15</f>
        <v>2379</v>
      </c>
      <c r="G15" s="104">
        <f>G11</f>
        <v>2230</v>
      </c>
      <c r="H15" s="308">
        <f>G15*V15*C15</f>
        <v>8161.799999999999</v>
      </c>
      <c r="I15" s="104">
        <f>I11</f>
        <v>969</v>
      </c>
      <c r="J15" s="324">
        <f>I15*V15*C15</f>
        <v>3546.54</v>
      </c>
      <c r="K15" s="104">
        <f>K11</f>
        <v>250</v>
      </c>
      <c r="L15" s="324">
        <f>K15*V15*C15</f>
        <v>915</v>
      </c>
      <c r="M15" s="104">
        <f>M11</f>
        <v>2850</v>
      </c>
      <c r="N15" s="324">
        <f>M15*V15*C15</f>
        <v>10431</v>
      </c>
      <c r="O15" s="104">
        <f>O11</f>
        <v>225</v>
      </c>
      <c r="P15" s="324">
        <f>O15*V15*C15</f>
        <v>823.5</v>
      </c>
      <c r="Q15" s="104">
        <f>Q11</f>
        <v>250</v>
      </c>
      <c r="R15" s="324">
        <f>Q15*V15*C15</f>
        <v>915</v>
      </c>
      <c r="S15" s="104">
        <f>S11</f>
        <v>275</v>
      </c>
      <c r="T15" s="324">
        <f>S15*V15*C15</f>
        <v>1006.5</v>
      </c>
      <c r="U15" s="347">
        <f t="shared" si="9"/>
        <v>7699</v>
      </c>
      <c r="V15" s="106">
        <v>1.22</v>
      </c>
      <c r="W15" s="363">
        <f>V15*C15*U15</f>
        <v>28178.34</v>
      </c>
      <c r="X15" s="309" t="s">
        <v>60</v>
      </c>
      <c r="Y15" s="310" t="s">
        <v>273</v>
      </c>
      <c r="Z15" s="311"/>
    </row>
    <row r="16" spans="1:26" s="14" customFormat="1" ht="22.5" customHeight="1" hidden="1">
      <c r="A16" s="530"/>
      <c r="B16" s="318" t="s">
        <v>141</v>
      </c>
      <c r="C16" s="318">
        <v>7</v>
      </c>
      <c r="D16" s="104" t="s">
        <v>142</v>
      </c>
      <c r="E16" s="105">
        <v>0</v>
      </c>
      <c r="F16" s="307">
        <f>E16*V16*C16</f>
        <v>0</v>
      </c>
      <c r="G16" s="104">
        <v>0</v>
      </c>
      <c r="H16" s="308">
        <f>G16*V16*C16</f>
        <v>0</v>
      </c>
      <c r="I16" s="104">
        <v>0</v>
      </c>
      <c r="J16" s="324">
        <f>I16*V16*C16</f>
        <v>0</v>
      </c>
      <c r="K16" s="104">
        <v>0</v>
      </c>
      <c r="L16" s="324">
        <f>K16*V16*C16</f>
        <v>0</v>
      </c>
      <c r="M16" s="104">
        <v>0</v>
      </c>
      <c r="N16" s="324">
        <f>M16*V16*C16</f>
        <v>0</v>
      </c>
      <c r="O16" s="104">
        <v>0</v>
      </c>
      <c r="P16" s="324">
        <f>O16*V16*C16</f>
        <v>0</v>
      </c>
      <c r="Q16" s="104">
        <v>0</v>
      </c>
      <c r="R16" s="324">
        <f>Q16*V16*C16</f>
        <v>0</v>
      </c>
      <c r="S16" s="104">
        <v>0</v>
      </c>
      <c r="T16" s="324">
        <f>S16*V16*C16</f>
        <v>0</v>
      </c>
      <c r="U16" s="347">
        <f t="shared" si="9"/>
        <v>0</v>
      </c>
      <c r="V16" s="106">
        <v>1.85</v>
      </c>
      <c r="W16" s="363">
        <f>V16*C16*U16</f>
        <v>0</v>
      </c>
      <c r="X16" s="309" t="s">
        <v>60</v>
      </c>
      <c r="Y16" s="310" t="s">
        <v>274</v>
      </c>
      <c r="Z16" s="311"/>
    </row>
    <row r="17" spans="1:26" s="14" customFormat="1" ht="33" customHeight="1" hidden="1">
      <c r="A17" s="530"/>
      <c r="B17" s="318" t="s">
        <v>356</v>
      </c>
      <c r="C17" s="318">
        <v>12</v>
      </c>
      <c r="D17" s="104" t="s">
        <v>142</v>
      </c>
      <c r="E17" s="105">
        <v>0</v>
      </c>
      <c r="F17" s="307">
        <f>E17*V17*C17</f>
        <v>0</v>
      </c>
      <c r="G17" s="104">
        <v>0</v>
      </c>
      <c r="H17" s="308">
        <f>G17*V17*C17</f>
        <v>0</v>
      </c>
      <c r="I17" s="104">
        <v>0</v>
      </c>
      <c r="J17" s="324">
        <f>I17*V17*C17</f>
        <v>0</v>
      </c>
      <c r="K17" s="104">
        <v>0</v>
      </c>
      <c r="L17" s="324">
        <f>K17*V17*C17</f>
        <v>0</v>
      </c>
      <c r="M17" s="104">
        <v>0</v>
      </c>
      <c r="N17" s="324">
        <f>M17*V17*C17</f>
        <v>0</v>
      </c>
      <c r="O17" s="104">
        <v>0</v>
      </c>
      <c r="P17" s="324">
        <f>O17*V17*C17</f>
        <v>0</v>
      </c>
      <c r="Q17" s="104">
        <v>0</v>
      </c>
      <c r="R17" s="324">
        <f>Q17*V17*C17</f>
        <v>0</v>
      </c>
      <c r="S17" s="104">
        <v>0</v>
      </c>
      <c r="T17" s="324">
        <f>S17*V17*C17</f>
        <v>0</v>
      </c>
      <c r="U17" s="347">
        <f t="shared" si="9"/>
        <v>0</v>
      </c>
      <c r="V17" s="106">
        <v>1.64</v>
      </c>
      <c r="W17" s="363">
        <f>V17*C17*U17</f>
        <v>0</v>
      </c>
      <c r="X17" s="309" t="s">
        <v>60</v>
      </c>
      <c r="Y17" s="310" t="s">
        <v>275</v>
      </c>
      <c r="Z17" s="311"/>
    </row>
    <row r="18" spans="1:26" s="14" customFormat="1" ht="33.75" customHeight="1" hidden="1">
      <c r="A18" s="530"/>
      <c r="B18" s="318" t="s">
        <v>357</v>
      </c>
      <c r="C18" s="318">
        <v>25</v>
      </c>
      <c r="D18" s="104" t="s">
        <v>142</v>
      </c>
      <c r="E18" s="105">
        <v>0</v>
      </c>
      <c r="F18" s="307">
        <f>E18*V18*C18</f>
        <v>0</v>
      </c>
      <c r="G18" s="104">
        <v>0</v>
      </c>
      <c r="H18" s="308">
        <f>G18*V18*C18</f>
        <v>0</v>
      </c>
      <c r="I18" s="104">
        <v>0</v>
      </c>
      <c r="J18" s="324">
        <f>I18*V18*C18</f>
        <v>0</v>
      </c>
      <c r="K18" s="104">
        <v>0</v>
      </c>
      <c r="L18" s="324">
        <f>K18*V18*C18</f>
        <v>0</v>
      </c>
      <c r="M18" s="104">
        <v>0</v>
      </c>
      <c r="N18" s="324">
        <f>M18*V18*C18</f>
        <v>0</v>
      </c>
      <c r="O18" s="104">
        <v>0</v>
      </c>
      <c r="P18" s="324">
        <f>O18*V18*C18</f>
        <v>0</v>
      </c>
      <c r="Q18" s="104">
        <v>0</v>
      </c>
      <c r="R18" s="324">
        <f>Q18*V18*C18</f>
        <v>0</v>
      </c>
      <c r="S18" s="104">
        <v>0</v>
      </c>
      <c r="T18" s="324">
        <f>S18*V18*C18</f>
        <v>0</v>
      </c>
      <c r="U18" s="347">
        <f t="shared" si="9"/>
        <v>0</v>
      </c>
      <c r="V18" s="106">
        <v>1.29</v>
      </c>
      <c r="W18" s="363">
        <f>V18*C18*U18</f>
        <v>0</v>
      </c>
      <c r="X18" s="309" t="s">
        <v>60</v>
      </c>
      <c r="Y18" s="310" t="s">
        <v>276</v>
      </c>
      <c r="Z18" s="311"/>
    </row>
    <row r="19" spans="1:26" s="14" customFormat="1" ht="12.75">
      <c r="A19" s="530"/>
      <c r="B19" s="535" t="s">
        <v>149</v>
      </c>
      <c r="C19" s="536"/>
      <c r="D19" s="104" t="s">
        <v>142</v>
      </c>
      <c r="E19" s="105">
        <f>E12</f>
        <v>0</v>
      </c>
      <c r="F19" s="307">
        <f>E19*V19</f>
        <v>0</v>
      </c>
      <c r="G19" s="104">
        <f>G12</f>
        <v>0</v>
      </c>
      <c r="H19" s="308">
        <f>G19*V19</f>
        <v>0</v>
      </c>
      <c r="I19" s="104">
        <f>I12</f>
        <v>0</v>
      </c>
      <c r="J19" s="324">
        <f t="shared" si="2"/>
        <v>0</v>
      </c>
      <c r="K19" s="104">
        <f>K12</f>
        <v>0</v>
      </c>
      <c r="L19" s="324">
        <f t="shared" si="3"/>
        <v>0</v>
      </c>
      <c r="M19" s="104">
        <f>M12</f>
        <v>0</v>
      </c>
      <c r="N19" s="324">
        <f t="shared" si="4"/>
        <v>0</v>
      </c>
      <c r="O19" s="104">
        <f>O12</f>
        <v>0</v>
      </c>
      <c r="P19" s="324">
        <f t="shared" si="5"/>
        <v>0</v>
      </c>
      <c r="Q19" s="104">
        <f>Q12</f>
        <v>21</v>
      </c>
      <c r="R19" s="324">
        <f t="shared" si="6"/>
        <v>68.25</v>
      </c>
      <c r="S19" s="104">
        <f>S12</f>
        <v>0</v>
      </c>
      <c r="T19" s="324">
        <f t="shared" si="7"/>
        <v>0</v>
      </c>
      <c r="U19" s="347">
        <f t="shared" si="9"/>
        <v>21</v>
      </c>
      <c r="V19" s="106">
        <v>3.25</v>
      </c>
      <c r="W19" s="363">
        <f aca="true" t="shared" si="10" ref="W19:W81">U19*V19</f>
        <v>68.25</v>
      </c>
      <c r="X19" s="309" t="s">
        <v>60</v>
      </c>
      <c r="Y19" s="310" t="s">
        <v>277</v>
      </c>
      <c r="Z19" s="311"/>
    </row>
    <row r="20" spans="1:26" s="14" customFormat="1" ht="33.75" hidden="1">
      <c r="A20" s="530"/>
      <c r="B20" s="318" t="s">
        <v>358</v>
      </c>
      <c r="C20" s="318">
        <v>2</v>
      </c>
      <c r="D20" s="104" t="s">
        <v>142</v>
      </c>
      <c r="E20" s="105">
        <v>0</v>
      </c>
      <c r="F20" s="307">
        <f>E20*V20*C20</f>
        <v>0</v>
      </c>
      <c r="G20" s="104">
        <v>0</v>
      </c>
      <c r="H20" s="308">
        <f>G20*V20*C20</f>
        <v>0</v>
      </c>
      <c r="I20" s="104">
        <v>0</v>
      </c>
      <c r="J20" s="324">
        <f>I20*V20*C20</f>
        <v>0</v>
      </c>
      <c r="K20" s="104">
        <v>0</v>
      </c>
      <c r="L20" s="324">
        <f>K20*V20*C20</f>
        <v>0</v>
      </c>
      <c r="M20" s="104">
        <v>0</v>
      </c>
      <c r="N20" s="324">
        <f>M20*V20*C20</f>
        <v>0</v>
      </c>
      <c r="O20" s="104">
        <v>0</v>
      </c>
      <c r="P20" s="324">
        <f>O20*V20*C20</f>
        <v>0</v>
      </c>
      <c r="Q20" s="104">
        <v>0</v>
      </c>
      <c r="R20" s="324">
        <f>Q20*V20*C20</f>
        <v>0</v>
      </c>
      <c r="S20" s="104">
        <v>0</v>
      </c>
      <c r="T20" s="324">
        <f>S20*V20*C20</f>
        <v>0</v>
      </c>
      <c r="U20" s="347">
        <f t="shared" si="9"/>
        <v>0</v>
      </c>
      <c r="V20" s="106">
        <v>2.67</v>
      </c>
      <c r="W20" s="363">
        <f>V20*C20*U20</f>
        <v>0</v>
      </c>
      <c r="X20" s="309" t="s">
        <v>60</v>
      </c>
      <c r="Y20" s="310" t="s">
        <v>278</v>
      </c>
      <c r="Z20" s="311"/>
    </row>
    <row r="21" spans="1:26" s="14" customFormat="1" ht="31.5" customHeight="1">
      <c r="A21" s="530"/>
      <c r="B21" s="441" t="s">
        <v>103</v>
      </c>
      <c r="C21" s="442"/>
      <c r="D21" s="104" t="s">
        <v>104</v>
      </c>
      <c r="E21" s="314">
        <f>7*1600*0.4*1.44</f>
        <v>6451.2</v>
      </c>
      <c r="F21" s="315">
        <f aca="true" t="shared" si="11" ref="F21:F27">E21*V21</f>
        <v>19353.6</v>
      </c>
      <c r="G21" s="314">
        <f>7*1930*0.25*1.44</f>
        <v>4863.599999999999</v>
      </c>
      <c r="H21" s="317">
        <f aca="true" t="shared" si="12" ref="H21:H27">G21*V21</f>
        <v>14590.8</v>
      </c>
      <c r="I21" s="314">
        <f>7*1100*0.3*1.44</f>
        <v>3326.4</v>
      </c>
      <c r="J21" s="325">
        <f t="shared" si="2"/>
        <v>9979.2</v>
      </c>
      <c r="K21" s="314">
        <f>7*1080*0.25*1.44</f>
        <v>2721.6</v>
      </c>
      <c r="L21" s="325">
        <f t="shared" si="3"/>
        <v>8164.799999999999</v>
      </c>
      <c r="M21" s="314">
        <f>7*1160*0.3*1.44</f>
        <v>3507.8399999999997</v>
      </c>
      <c r="N21" s="325">
        <f t="shared" si="4"/>
        <v>10523.519999999999</v>
      </c>
      <c r="O21" s="314">
        <f>7*430*0.3*1.44</f>
        <v>1300.32</v>
      </c>
      <c r="P21" s="325">
        <f t="shared" si="5"/>
        <v>3900.96</v>
      </c>
      <c r="Q21" s="314">
        <f>7*540*0.5*1.44</f>
        <v>2721.6</v>
      </c>
      <c r="R21" s="325">
        <f t="shared" si="6"/>
        <v>8164.799999999999</v>
      </c>
      <c r="S21" s="314">
        <f>7*1030*0.25*1.44</f>
        <v>2595.6</v>
      </c>
      <c r="T21" s="324">
        <f t="shared" si="7"/>
        <v>7786.799999999999</v>
      </c>
      <c r="U21" s="347">
        <f t="shared" si="9"/>
        <v>27488.159999999996</v>
      </c>
      <c r="V21" s="106">
        <f>'Memorial Custo'!E14</f>
        <v>3</v>
      </c>
      <c r="W21" s="363">
        <f t="shared" si="10"/>
        <v>82464.47999999998</v>
      </c>
      <c r="X21" s="312" t="s">
        <v>279</v>
      </c>
      <c r="Y21" s="313" t="s">
        <v>280</v>
      </c>
      <c r="Z21" s="311"/>
    </row>
    <row r="22" spans="1:26" ht="24" customHeight="1">
      <c r="A22" s="530"/>
      <c r="B22" s="441" t="s">
        <v>346</v>
      </c>
      <c r="C22" s="442"/>
      <c r="D22" s="104" t="s">
        <v>104</v>
      </c>
      <c r="E22" s="105">
        <f>7*2220*0.3</f>
        <v>4662</v>
      </c>
      <c r="F22" s="181">
        <f t="shared" si="11"/>
        <v>4941.72</v>
      </c>
      <c r="G22" s="105">
        <f>7*2130*0.3</f>
        <v>4473</v>
      </c>
      <c r="H22" s="182">
        <f t="shared" si="12"/>
        <v>4741.38</v>
      </c>
      <c r="I22" s="105">
        <f>7*1100*0.3</f>
        <v>2310</v>
      </c>
      <c r="J22" s="324">
        <f t="shared" si="2"/>
        <v>2448.6</v>
      </c>
      <c r="K22" s="105">
        <f>7*1080*0.3</f>
        <v>2268</v>
      </c>
      <c r="L22" s="324">
        <f t="shared" si="3"/>
        <v>2404.08</v>
      </c>
      <c r="M22" s="105">
        <f>7*1160*0.3</f>
        <v>2436</v>
      </c>
      <c r="N22" s="324">
        <f t="shared" si="4"/>
        <v>2582.1600000000003</v>
      </c>
      <c r="O22" s="105">
        <f>7*430*0.3</f>
        <v>903</v>
      </c>
      <c r="P22" s="324">
        <f t="shared" si="5"/>
        <v>957.1800000000001</v>
      </c>
      <c r="Q22" s="105">
        <f>7*540*0.3</f>
        <v>1134</v>
      </c>
      <c r="R22" s="324">
        <f t="shared" si="6"/>
        <v>1202.04</v>
      </c>
      <c r="S22" s="105">
        <f>7*1030*0.3</f>
        <v>2163</v>
      </c>
      <c r="T22" s="324">
        <f t="shared" si="7"/>
        <v>2292.78</v>
      </c>
      <c r="U22" s="347">
        <f t="shared" si="9"/>
        <v>20349</v>
      </c>
      <c r="V22" s="106">
        <f>'Memorial Custo'!E22</f>
        <v>1.06</v>
      </c>
      <c r="W22" s="363">
        <f t="shared" si="10"/>
        <v>21569.940000000002</v>
      </c>
      <c r="X22" s="74" t="s">
        <v>279</v>
      </c>
      <c r="Y22" s="75" t="s">
        <v>280</v>
      </c>
      <c r="Z22" s="51"/>
    </row>
    <row r="23" spans="1:26" ht="21.75" customHeight="1">
      <c r="A23" s="530"/>
      <c r="B23" s="449" t="s">
        <v>349</v>
      </c>
      <c r="C23" s="450"/>
      <c r="D23" s="34" t="s">
        <v>102</v>
      </c>
      <c r="E23" s="245">
        <f>7*2220</f>
        <v>15540</v>
      </c>
      <c r="F23" s="246">
        <f t="shared" si="11"/>
        <v>6216</v>
      </c>
      <c r="G23" s="245">
        <f>7*2130</f>
        <v>14910</v>
      </c>
      <c r="H23" s="248">
        <f t="shared" si="12"/>
        <v>5964</v>
      </c>
      <c r="I23" s="245">
        <f>7*1100</f>
        <v>7700</v>
      </c>
      <c r="J23" s="325">
        <f t="shared" si="2"/>
        <v>3080</v>
      </c>
      <c r="K23" s="245">
        <f>7*1080</f>
        <v>7560</v>
      </c>
      <c r="L23" s="325">
        <f t="shared" si="3"/>
        <v>3024</v>
      </c>
      <c r="M23" s="247">
        <f>7*1160</f>
        <v>8120</v>
      </c>
      <c r="N23" s="325">
        <f t="shared" si="4"/>
        <v>3248</v>
      </c>
      <c r="O23" s="247">
        <f>7*430</f>
        <v>3010</v>
      </c>
      <c r="P23" s="325">
        <f t="shared" si="5"/>
        <v>1204</v>
      </c>
      <c r="Q23" s="247">
        <f>7*540</f>
        <v>3780</v>
      </c>
      <c r="R23" s="325">
        <f t="shared" si="6"/>
        <v>1512</v>
      </c>
      <c r="S23" s="247">
        <f>7*1030</f>
        <v>7210</v>
      </c>
      <c r="T23" s="324">
        <f t="shared" si="7"/>
        <v>2884</v>
      </c>
      <c r="U23" s="347">
        <f t="shared" si="9"/>
        <v>67830</v>
      </c>
      <c r="V23" s="50">
        <f>'Memorial Custo'!E28</f>
        <v>0.4</v>
      </c>
      <c r="W23" s="363">
        <f t="shared" si="10"/>
        <v>27132</v>
      </c>
      <c r="X23" s="74" t="s">
        <v>279</v>
      </c>
      <c r="Y23" s="75" t="s">
        <v>280</v>
      </c>
      <c r="Z23" s="51"/>
    </row>
    <row r="24" spans="1:26" ht="21.75" customHeight="1" thickBot="1">
      <c r="A24" s="531"/>
      <c r="B24" s="449" t="s">
        <v>105</v>
      </c>
      <c r="C24" s="450"/>
      <c r="D24" s="34" t="s">
        <v>102</v>
      </c>
      <c r="E24" s="245">
        <f>E23</f>
        <v>15540</v>
      </c>
      <c r="F24" s="246">
        <f t="shared" si="11"/>
        <v>2486.4</v>
      </c>
      <c r="G24" s="247">
        <f>G23</f>
        <v>14910</v>
      </c>
      <c r="H24" s="248">
        <f t="shared" si="12"/>
        <v>2385.6</v>
      </c>
      <c r="I24" s="247">
        <f>I23</f>
        <v>7700</v>
      </c>
      <c r="J24" s="325">
        <f t="shared" si="2"/>
        <v>1232</v>
      </c>
      <c r="K24" s="247">
        <f>K23</f>
        <v>7560</v>
      </c>
      <c r="L24" s="325">
        <f t="shared" si="3"/>
        <v>1209.6000000000001</v>
      </c>
      <c r="M24" s="247">
        <f>M23</f>
        <v>8120</v>
      </c>
      <c r="N24" s="325">
        <f t="shared" si="4"/>
        <v>1299.2</v>
      </c>
      <c r="O24" s="247">
        <f>O23</f>
        <v>3010</v>
      </c>
      <c r="P24" s="325">
        <f t="shared" si="5"/>
        <v>481.6</v>
      </c>
      <c r="Q24" s="247">
        <f>Q23</f>
        <v>3780</v>
      </c>
      <c r="R24" s="325">
        <f t="shared" si="6"/>
        <v>604.8000000000001</v>
      </c>
      <c r="S24" s="247">
        <f>S23</f>
        <v>7210</v>
      </c>
      <c r="T24" s="324">
        <f t="shared" si="7"/>
        <v>1153.6000000000001</v>
      </c>
      <c r="U24" s="347">
        <f t="shared" si="9"/>
        <v>67830</v>
      </c>
      <c r="V24" s="50">
        <f>'Memorial Custo'!E31</f>
        <v>0.16</v>
      </c>
      <c r="W24" s="363">
        <f>U24*V24</f>
        <v>10852.800000000001</v>
      </c>
      <c r="X24" s="74" t="s">
        <v>279</v>
      </c>
      <c r="Y24" s="75" t="s">
        <v>280</v>
      </c>
      <c r="Z24" s="51"/>
    </row>
    <row r="25" spans="1:26" ht="21.75" customHeight="1" hidden="1">
      <c r="A25" s="531"/>
      <c r="B25" s="473"/>
      <c r="C25" s="474"/>
      <c r="D25" s="34"/>
      <c r="E25" s="35"/>
      <c r="F25" s="181">
        <f t="shared" si="11"/>
        <v>0</v>
      </c>
      <c r="G25" s="34"/>
      <c r="H25" s="182">
        <f t="shared" si="12"/>
        <v>0</v>
      </c>
      <c r="I25" s="34"/>
      <c r="J25" s="324">
        <f t="shared" si="2"/>
        <v>0</v>
      </c>
      <c r="K25" s="34"/>
      <c r="L25" s="324">
        <f t="shared" si="3"/>
        <v>0</v>
      </c>
      <c r="M25" s="34"/>
      <c r="N25" s="324">
        <f t="shared" si="4"/>
        <v>0</v>
      </c>
      <c r="O25" s="34"/>
      <c r="P25" s="324">
        <f t="shared" si="5"/>
        <v>0</v>
      </c>
      <c r="Q25" s="34"/>
      <c r="R25" s="324">
        <f t="shared" si="6"/>
        <v>0</v>
      </c>
      <c r="S25" s="34"/>
      <c r="T25" s="324">
        <f t="shared" si="7"/>
        <v>0</v>
      </c>
      <c r="U25" s="347">
        <f t="shared" si="9"/>
        <v>0</v>
      </c>
      <c r="V25" s="113"/>
      <c r="W25" s="363">
        <f>U25*V25</f>
        <v>0</v>
      </c>
      <c r="X25" s="114"/>
      <c r="Y25" s="115"/>
      <c r="Z25" s="51"/>
    </row>
    <row r="26" spans="1:26" ht="21.75" customHeight="1" hidden="1">
      <c r="A26" s="531"/>
      <c r="B26" s="473"/>
      <c r="C26" s="474"/>
      <c r="D26" s="109"/>
      <c r="E26" s="35"/>
      <c r="F26" s="181">
        <f t="shared" si="11"/>
        <v>0</v>
      </c>
      <c r="G26" s="34"/>
      <c r="H26" s="182">
        <f t="shared" si="12"/>
        <v>0</v>
      </c>
      <c r="I26" s="34"/>
      <c r="J26" s="324">
        <f t="shared" si="2"/>
        <v>0</v>
      </c>
      <c r="K26" s="34"/>
      <c r="L26" s="324">
        <f t="shared" si="3"/>
        <v>0</v>
      </c>
      <c r="M26" s="34"/>
      <c r="N26" s="324">
        <f t="shared" si="4"/>
        <v>0</v>
      </c>
      <c r="O26" s="34"/>
      <c r="P26" s="324">
        <f t="shared" si="5"/>
        <v>0</v>
      </c>
      <c r="Q26" s="34"/>
      <c r="R26" s="324">
        <f t="shared" si="6"/>
        <v>0</v>
      </c>
      <c r="S26" s="34"/>
      <c r="T26" s="324">
        <f t="shared" si="7"/>
        <v>0</v>
      </c>
      <c r="U26" s="347">
        <f t="shared" si="9"/>
        <v>0</v>
      </c>
      <c r="V26" s="113"/>
      <c r="W26" s="363">
        <f>U26*V26</f>
        <v>0</v>
      </c>
      <c r="X26" s="114"/>
      <c r="Y26" s="115"/>
      <c r="Z26" s="51"/>
    </row>
    <row r="27" spans="1:26" ht="33.75" customHeight="1" hidden="1" thickBot="1">
      <c r="A27" s="532"/>
      <c r="B27" s="527"/>
      <c r="C27" s="528"/>
      <c r="D27" s="41"/>
      <c r="E27" s="42"/>
      <c r="F27" s="183">
        <f t="shared" si="11"/>
        <v>0</v>
      </c>
      <c r="G27" s="41"/>
      <c r="H27" s="184">
        <f t="shared" si="12"/>
        <v>0</v>
      </c>
      <c r="I27" s="41"/>
      <c r="J27" s="326">
        <f t="shared" si="2"/>
        <v>0</v>
      </c>
      <c r="K27" s="41"/>
      <c r="L27" s="326">
        <f t="shared" si="3"/>
        <v>0</v>
      </c>
      <c r="M27" s="41"/>
      <c r="N27" s="326">
        <f t="shared" si="4"/>
        <v>0</v>
      </c>
      <c r="O27" s="41"/>
      <c r="P27" s="326">
        <f t="shared" si="5"/>
        <v>0</v>
      </c>
      <c r="Q27" s="41"/>
      <c r="R27" s="326">
        <f t="shared" si="6"/>
        <v>0</v>
      </c>
      <c r="S27" s="41"/>
      <c r="T27" s="326">
        <f t="shared" si="7"/>
        <v>0</v>
      </c>
      <c r="U27" s="348">
        <f t="shared" si="9"/>
        <v>0</v>
      </c>
      <c r="V27" s="116"/>
      <c r="W27" s="364">
        <f>U27*V27</f>
        <v>0</v>
      </c>
      <c r="X27" s="117"/>
      <c r="Y27" s="118"/>
      <c r="Z27" s="51"/>
    </row>
    <row r="28" spans="1:26" ht="30" customHeight="1" thickBot="1" thickTop="1">
      <c r="A28" s="438" t="s">
        <v>125</v>
      </c>
      <c r="B28" s="438"/>
      <c r="C28" s="438"/>
      <c r="D28" s="438"/>
      <c r="E28" s="157"/>
      <c r="F28" s="180">
        <f>SUM(F6:F27)</f>
        <v>56829.520000000004</v>
      </c>
      <c r="G28" s="157"/>
      <c r="H28" s="180">
        <f>SUM(H6:H27)</f>
        <v>59481.979999999996</v>
      </c>
      <c r="I28" s="157"/>
      <c r="J28" s="327">
        <f>SUM(J6:J27)</f>
        <v>25748.809999999998</v>
      </c>
      <c r="K28" s="157"/>
      <c r="L28" s="327">
        <f>SUM(L6:L27)</f>
        <v>18118.579999999998</v>
      </c>
      <c r="M28" s="157"/>
      <c r="N28" s="327">
        <f>SUM(N6:N27)</f>
        <v>39021.804</v>
      </c>
      <c r="O28" s="157"/>
      <c r="P28" s="327">
        <f>SUM(P6:P27)</f>
        <v>8933.03</v>
      </c>
      <c r="Q28" s="157"/>
      <c r="R28" s="327">
        <f>SUM(R6:R27)</f>
        <v>17834.539999999997</v>
      </c>
      <c r="S28" s="157"/>
      <c r="T28" s="327">
        <f>SUM(T6:T27)</f>
        <v>18045.329999999998</v>
      </c>
      <c r="U28" s="349"/>
      <c r="V28" s="158"/>
      <c r="W28" s="365">
        <f>SUM(W6:W27)</f>
        <v>244013.59399999995</v>
      </c>
      <c r="X28" s="185"/>
      <c r="Y28" s="6"/>
      <c r="Z28" s="51"/>
    </row>
    <row r="29" spans="1:26" ht="21" customHeight="1" hidden="1" thickBot="1" thickTop="1">
      <c r="A29" s="153"/>
      <c r="B29" s="141" t="s">
        <v>240</v>
      </c>
      <c r="C29" s="142"/>
      <c r="D29" s="39" t="s">
        <v>69</v>
      </c>
      <c r="E29" s="43">
        <v>0</v>
      </c>
      <c r="F29" s="190">
        <f>E29*V29</f>
        <v>0</v>
      </c>
      <c r="G29" s="43">
        <v>0</v>
      </c>
      <c r="H29" s="187">
        <f>G29*V29</f>
        <v>0</v>
      </c>
      <c r="I29" s="43">
        <v>0</v>
      </c>
      <c r="J29" s="328">
        <f>I29*V29</f>
        <v>0</v>
      </c>
      <c r="K29" s="43">
        <v>0</v>
      </c>
      <c r="L29" s="328">
        <f>K29*V29</f>
        <v>0</v>
      </c>
      <c r="M29" s="43">
        <v>0</v>
      </c>
      <c r="N29" s="328">
        <f>M29*V29</f>
        <v>0</v>
      </c>
      <c r="O29" s="43">
        <v>0</v>
      </c>
      <c r="P29" s="328">
        <f>O29*V29</f>
        <v>0</v>
      </c>
      <c r="Q29" s="43">
        <v>0</v>
      </c>
      <c r="R29" s="328">
        <f>Q29*V29</f>
        <v>0</v>
      </c>
      <c r="S29" s="43">
        <v>0</v>
      </c>
      <c r="T29" s="328">
        <f>S29*V29</f>
        <v>0</v>
      </c>
      <c r="U29" s="346">
        <f t="shared" si="9"/>
        <v>0</v>
      </c>
      <c r="V29" s="169">
        <f>'Memorial Custo'!F60</f>
        <v>62.88</v>
      </c>
      <c r="W29" s="362">
        <f t="shared" si="10"/>
        <v>0</v>
      </c>
      <c r="X29" s="78" t="s">
        <v>279</v>
      </c>
      <c r="Y29" s="79" t="s">
        <v>280</v>
      </c>
      <c r="Z29" s="186"/>
    </row>
    <row r="30" spans="1:25" ht="24.75" customHeight="1" thickTop="1">
      <c r="A30" s="153" t="s">
        <v>106</v>
      </c>
      <c r="B30" s="143" t="s">
        <v>157</v>
      </c>
      <c r="C30" s="144"/>
      <c r="D30" s="34" t="s">
        <v>107</v>
      </c>
      <c r="E30" s="36">
        <v>1200</v>
      </c>
      <c r="F30" s="191">
        <f aca="true" t="shared" si="13" ref="F30:F46">E30*V30</f>
        <v>5868</v>
      </c>
      <c r="G30" s="36">
        <v>660</v>
      </c>
      <c r="H30" s="168">
        <f aca="true" t="shared" si="14" ref="H30:H46">G30*V30</f>
        <v>3227.3999999999996</v>
      </c>
      <c r="I30" s="36">
        <v>850</v>
      </c>
      <c r="J30" s="329">
        <f aca="true" t="shared" si="15" ref="J30:J46">I30*V30</f>
        <v>4156.5</v>
      </c>
      <c r="K30" s="36">
        <v>720</v>
      </c>
      <c r="L30" s="329">
        <f aca="true" t="shared" si="16" ref="L30:L46">K30*V30</f>
        <v>3520.7999999999997</v>
      </c>
      <c r="M30" s="36">
        <v>750</v>
      </c>
      <c r="N30" s="329">
        <f aca="true" t="shared" si="17" ref="N30:N46">M30*V30</f>
        <v>3667.4999999999995</v>
      </c>
      <c r="O30" s="36">
        <v>270</v>
      </c>
      <c r="P30" s="329">
        <f aca="true" t="shared" si="18" ref="P30:P46">O30*V30</f>
        <v>1320.3</v>
      </c>
      <c r="Q30" s="36">
        <v>700</v>
      </c>
      <c r="R30" s="329">
        <f aca="true" t="shared" si="19" ref="R30:R46">Q30*V30</f>
        <v>3423</v>
      </c>
      <c r="S30" s="36">
        <v>810</v>
      </c>
      <c r="T30" s="329">
        <f aca="true" t="shared" si="20" ref="T30:T46">S30*V30</f>
        <v>3960.8999999999996</v>
      </c>
      <c r="U30" s="347">
        <f t="shared" si="9"/>
        <v>5960</v>
      </c>
      <c r="V30" s="170">
        <f>'Memorial Custo'!E34</f>
        <v>4.89</v>
      </c>
      <c r="W30" s="363">
        <f t="shared" si="10"/>
        <v>29144.399999999998</v>
      </c>
      <c r="X30" s="74" t="s">
        <v>279</v>
      </c>
      <c r="Y30" s="75" t="s">
        <v>280</v>
      </c>
    </row>
    <row r="31" spans="1:25" s="14" customFormat="1" ht="24.75" customHeight="1">
      <c r="A31" s="319"/>
      <c r="B31" s="145" t="s">
        <v>157</v>
      </c>
      <c r="C31" s="146" t="s">
        <v>59</v>
      </c>
      <c r="D31" s="104"/>
      <c r="E31" s="105"/>
      <c r="F31" s="320"/>
      <c r="G31" s="105">
        <v>40</v>
      </c>
      <c r="H31" s="104">
        <v>0</v>
      </c>
      <c r="I31" s="105"/>
      <c r="J31" s="329"/>
      <c r="K31" s="105">
        <v>50</v>
      </c>
      <c r="L31" s="329"/>
      <c r="M31" s="105"/>
      <c r="N31" s="329"/>
      <c r="O31" s="105"/>
      <c r="P31" s="329"/>
      <c r="Q31" s="105"/>
      <c r="R31" s="329"/>
      <c r="S31" s="105"/>
      <c r="T31" s="329"/>
      <c r="U31" s="350">
        <f t="shared" si="9"/>
        <v>90</v>
      </c>
      <c r="V31" s="165"/>
      <c r="W31" s="363"/>
      <c r="X31" s="521" t="s">
        <v>53</v>
      </c>
      <c r="Y31" s="522"/>
    </row>
    <row r="32" spans="1:25" s="14" customFormat="1" ht="12.75">
      <c r="A32" s="319"/>
      <c r="B32" s="145" t="s">
        <v>108</v>
      </c>
      <c r="C32" s="146"/>
      <c r="D32" s="104" t="s">
        <v>66</v>
      </c>
      <c r="E32" s="105">
        <v>37</v>
      </c>
      <c r="F32" s="320">
        <f t="shared" si="13"/>
        <v>3404.3700000000003</v>
      </c>
      <c r="G32" s="105">
        <v>30</v>
      </c>
      <c r="H32" s="104">
        <f t="shared" si="14"/>
        <v>2760.3</v>
      </c>
      <c r="I32" s="105">
        <v>15</v>
      </c>
      <c r="J32" s="329">
        <f t="shared" si="15"/>
        <v>1380.15</v>
      </c>
      <c r="K32" s="105">
        <v>17</v>
      </c>
      <c r="L32" s="329">
        <f t="shared" si="16"/>
        <v>1564.17</v>
      </c>
      <c r="M32" s="105">
        <v>19</v>
      </c>
      <c r="N32" s="329">
        <f t="shared" si="17"/>
        <v>1748.19</v>
      </c>
      <c r="O32" s="105">
        <v>9</v>
      </c>
      <c r="P32" s="329">
        <f t="shared" si="18"/>
        <v>828.09</v>
      </c>
      <c r="Q32" s="105">
        <v>10</v>
      </c>
      <c r="R32" s="329">
        <f t="shared" si="19"/>
        <v>920.1</v>
      </c>
      <c r="S32" s="105">
        <v>17</v>
      </c>
      <c r="T32" s="329">
        <f t="shared" si="20"/>
        <v>1564.17</v>
      </c>
      <c r="U32" s="347">
        <f t="shared" si="9"/>
        <v>154</v>
      </c>
      <c r="V32" s="165">
        <f>'Memorial Custo'!E37</f>
        <v>92.01</v>
      </c>
      <c r="W32" s="363">
        <f t="shared" si="10"/>
        <v>14169.54</v>
      </c>
      <c r="X32" s="312" t="s">
        <v>279</v>
      </c>
      <c r="Y32" s="313" t="s">
        <v>280</v>
      </c>
    </row>
    <row r="33" spans="1:25" s="14" customFormat="1" ht="12.75">
      <c r="A33" s="319"/>
      <c r="B33" s="145" t="s">
        <v>108</v>
      </c>
      <c r="C33" s="146" t="s">
        <v>59</v>
      </c>
      <c r="D33" s="104"/>
      <c r="E33" s="105"/>
      <c r="F33" s="320"/>
      <c r="G33" s="105">
        <v>4</v>
      </c>
      <c r="H33" s="104">
        <v>0</v>
      </c>
      <c r="I33" s="105"/>
      <c r="J33" s="329"/>
      <c r="K33" s="105">
        <v>5</v>
      </c>
      <c r="L33" s="329"/>
      <c r="M33" s="105"/>
      <c r="N33" s="329"/>
      <c r="O33" s="105"/>
      <c r="P33" s="329"/>
      <c r="Q33" s="105"/>
      <c r="R33" s="329"/>
      <c r="S33" s="105"/>
      <c r="T33" s="329"/>
      <c r="U33" s="350">
        <f t="shared" si="9"/>
        <v>9</v>
      </c>
      <c r="V33" s="165"/>
      <c r="W33" s="363"/>
      <c r="X33" s="521" t="s">
        <v>53</v>
      </c>
      <c r="Y33" s="522"/>
    </row>
    <row r="34" spans="1:25" s="14" customFormat="1" ht="22.5" hidden="1">
      <c r="A34" s="319"/>
      <c r="B34" s="151" t="s">
        <v>333</v>
      </c>
      <c r="C34" s="152"/>
      <c r="D34" s="104" t="s">
        <v>67</v>
      </c>
      <c r="E34" s="105">
        <v>0</v>
      </c>
      <c r="F34" s="320">
        <f t="shared" si="13"/>
        <v>0</v>
      </c>
      <c r="G34" s="105">
        <v>0</v>
      </c>
      <c r="H34" s="104">
        <f t="shared" si="14"/>
        <v>0</v>
      </c>
      <c r="I34" s="105">
        <v>0</v>
      </c>
      <c r="J34" s="329">
        <f t="shared" si="15"/>
        <v>0</v>
      </c>
      <c r="K34" s="105">
        <v>0</v>
      </c>
      <c r="L34" s="329">
        <f t="shared" si="16"/>
        <v>0</v>
      </c>
      <c r="M34" s="105">
        <v>0</v>
      </c>
      <c r="N34" s="329">
        <f t="shared" si="17"/>
        <v>0</v>
      </c>
      <c r="O34" s="105">
        <v>0</v>
      </c>
      <c r="P34" s="329">
        <f t="shared" si="18"/>
        <v>0</v>
      </c>
      <c r="Q34" s="105">
        <v>0</v>
      </c>
      <c r="R34" s="329">
        <f t="shared" si="19"/>
        <v>0</v>
      </c>
      <c r="S34" s="105">
        <v>0</v>
      </c>
      <c r="T34" s="329">
        <f t="shared" si="20"/>
        <v>0</v>
      </c>
      <c r="U34" s="347">
        <f t="shared" si="9"/>
        <v>0</v>
      </c>
      <c r="V34" s="165">
        <v>50.54</v>
      </c>
      <c r="W34" s="363">
        <f t="shared" si="10"/>
        <v>0</v>
      </c>
      <c r="X34" s="309" t="s">
        <v>60</v>
      </c>
      <c r="Y34" s="310" t="s">
        <v>283</v>
      </c>
    </row>
    <row r="35" spans="1:25" s="14" customFormat="1" ht="22.5" hidden="1">
      <c r="A35" s="319"/>
      <c r="B35" s="151" t="s">
        <v>238</v>
      </c>
      <c r="C35" s="152"/>
      <c r="D35" s="104" t="s">
        <v>67</v>
      </c>
      <c r="E35" s="314">
        <v>0</v>
      </c>
      <c r="F35" s="320">
        <f t="shared" si="13"/>
        <v>0</v>
      </c>
      <c r="G35" s="314">
        <v>0</v>
      </c>
      <c r="H35" s="104">
        <f t="shared" si="14"/>
        <v>0</v>
      </c>
      <c r="I35" s="314">
        <v>0</v>
      </c>
      <c r="J35" s="329">
        <f t="shared" si="15"/>
        <v>0</v>
      </c>
      <c r="K35" s="314">
        <v>0</v>
      </c>
      <c r="L35" s="329">
        <f t="shared" si="16"/>
        <v>0</v>
      </c>
      <c r="M35" s="314">
        <v>0</v>
      </c>
      <c r="N35" s="329">
        <f t="shared" si="17"/>
        <v>0</v>
      </c>
      <c r="O35" s="314">
        <v>0</v>
      </c>
      <c r="P35" s="329">
        <f t="shared" si="18"/>
        <v>0</v>
      </c>
      <c r="Q35" s="314">
        <v>0</v>
      </c>
      <c r="R35" s="329">
        <f t="shared" si="19"/>
        <v>0</v>
      </c>
      <c r="S35" s="314">
        <v>0</v>
      </c>
      <c r="T35" s="329">
        <f t="shared" si="20"/>
        <v>0</v>
      </c>
      <c r="U35" s="347">
        <f t="shared" si="9"/>
        <v>0</v>
      </c>
      <c r="V35" s="321">
        <v>81.95</v>
      </c>
      <c r="W35" s="363">
        <f t="shared" si="10"/>
        <v>0</v>
      </c>
      <c r="X35" s="309" t="s">
        <v>60</v>
      </c>
      <c r="Y35" s="310" t="s">
        <v>281</v>
      </c>
    </row>
    <row r="36" spans="1:25" s="14" customFormat="1" ht="22.5" hidden="1">
      <c r="A36" s="319"/>
      <c r="B36" s="145" t="s">
        <v>239</v>
      </c>
      <c r="C36" s="146"/>
      <c r="D36" s="104" t="s">
        <v>67</v>
      </c>
      <c r="E36" s="314">
        <v>0</v>
      </c>
      <c r="F36" s="320">
        <f t="shared" si="13"/>
        <v>0</v>
      </c>
      <c r="G36" s="314">
        <v>0</v>
      </c>
      <c r="H36" s="104">
        <f t="shared" si="14"/>
        <v>0</v>
      </c>
      <c r="I36" s="314">
        <v>0</v>
      </c>
      <c r="J36" s="329">
        <f t="shared" si="15"/>
        <v>0</v>
      </c>
      <c r="K36" s="314">
        <v>0</v>
      </c>
      <c r="L36" s="329">
        <f t="shared" si="16"/>
        <v>0</v>
      </c>
      <c r="M36" s="314">
        <v>0</v>
      </c>
      <c r="N36" s="329">
        <f t="shared" si="17"/>
        <v>0</v>
      </c>
      <c r="O36" s="314">
        <v>0</v>
      </c>
      <c r="P36" s="329">
        <f t="shared" si="18"/>
        <v>0</v>
      </c>
      <c r="Q36" s="314">
        <v>0</v>
      </c>
      <c r="R36" s="329">
        <f t="shared" si="19"/>
        <v>0</v>
      </c>
      <c r="S36" s="314">
        <v>0</v>
      </c>
      <c r="T36" s="329">
        <f t="shared" si="20"/>
        <v>0</v>
      </c>
      <c r="U36" s="347">
        <f t="shared" si="9"/>
        <v>0</v>
      </c>
      <c r="V36" s="321">
        <v>141.31</v>
      </c>
      <c r="W36" s="363">
        <f t="shared" si="10"/>
        <v>0</v>
      </c>
      <c r="X36" s="309" t="s">
        <v>60</v>
      </c>
      <c r="Y36" s="310" t="s">
        <v>282</v>
      </c>
    </row>
    <row r="37" spans="1:25" s="14" customFormat="1" ht="33.75" hidden="1">
      <c r="A37" s="319"/>
      <c r="B37" s="145" t="s">
        <v>244</v>
      </c>
      <c r="C37" s="146"/>
      <c r="D37" s="104"/>
      <c r="E37" s="314">
        <v>0</v>
      </c>
      <c r="F37" s="320">
        <f t="shared" si="13"/>
        <v>0</v>
      </c>
      <c r="G37" s="314">
        <v>0</v>
      </c>
      <c r="H37" s="104">
        <f t="shared" si="14"/>
        <v>0</v>
      </c>
      <c r="I37" s="314">
        <v>0</v>
      </c>
      <c r="J37" s="329">
        <f t="shared" si="15"/>
        <v>0</v>
      </c>
      <c r="K37" s="314">
        <v>0</v>
      </c>
      <c r="L37" s="329">
        <f t="shared" si="16"/>
        <v>0</v>
      </c>
      <c r="M37" s="314">
        <v>0</v>
      </c>
      <c r="N37" s="329">
        <f t="shared" si="17"/>
        <v>0</v>
      </c>
      <c r="O37" s="314">
        <v>0</v>
      </c>
      <c r="P37" s="329">
        <f t="shared" si="18"/>
        <v>0</v>
      </c>
      <c r="Q37" s="314">
        <v>0</v>
      </c>
      <c r="R37" s="329">
        <f t="shared" si="19"/>
        <v>0</v>
      </c>
      <c r="S37" s="314">
        <v>0</v>
      </c>
      <c r="T37" s="329">
        <f t="shared" si="20"/>
        <v>0</v>
      </c>
      <c r="U37" s="347">
        <f t="shared" si="9"/>
        <v>0</v>
      </c>
      <c r="V37" s="165">
        <f>'Memorial Custo'!F54</f>
        <v>882.13</v>
      </c>
      <c r="W37" s="363">
        <f t="shared" si="10"/>
        <v>0</v>
      </c>
      <c r="X37" s="312" t="s">
        <v>279</v>
      </c>
      <c r="Y37" s="313" t="s">
        <v>280</v>
      </c>
    </row>
    <row r="38" spans="1:25" s="14" customFormat="1" ht="21.75" customHeight="1" hidden="1">
      <c r="A38" s="319"/>
      <c r="B38" s="145" t="s">
        <v>284</v>
      </c>
      <c r="C38" s="146"/>
      <c r="D38" s="104" t="s">
        <v>104</v>
      </c>
      <c r="E38" s="105">
        <v>0</v>
      </c>
      <c r="F38" s="320">
        <f t="shared" si="13"/>
        <v>0</v>
      </c>
      <c r="G38" s="105">
        <v>0</v>
      </c>
      <c r="H38" s="104">
        <f t="shared" si="14"/>
        <v>0</v>
      </c>
      <c r="I38" s="105">
        <v>0</v>
      </c>
      <c r="J38" s="329">
        <f t="shared" si="15"/>
        <v>0</v>
      </c>
      <c r="K38" s="105">
        <v>0</v>
      </c>
      <c r="L38" s="329">
        <f t="shared" si="16"/>
        <v>0</v>
      </c>
      <c r="M38" s="105">
        <v>0</v>
      </c>
      <c r="N38" s="329">
        <f t="shared" si="17"/>
        <v>0</v>
      </c>
      <c r="O38" s="105">
        <v>0</v>
      </c>
      <c r="P38" s="329">
        <f t="shared" si="18"/>
        <v>0</v>
      </c>
      <c r="Q38" s="105">
        <v>0</v>
      </c>
      <c r="R38" s="329">
        <f t="shared" si="19"/>
        <v>0</v>
      </c>
      <c r="S38" s="105">
        <v>0</v>
      </c>
      <c r="T38" s="329">
        <f t="shared" si="20"/>
        <v>0</v>
      </c>
      <c r="U38" s="347">
        <f t="shared" si="9"/>
        <v>0</v>
      </c>
      <c r="V38" s="165">
        <v>175.6</v>
      </c>
      <c r="W38" s="363">
        <f t="shared" si="10"/>
        <v>0</v>
      </c>
      <c r="X38" s="309" t="s">
        <v>60</v>
      </c>
      <c r="Y38" s="310" t="s">
        <v>285</v>
      </c>
    </row>
    <row r="39" spans="1:25" s="14" customFormat="1" ht="48" customHeight="1" hidden="1">
      <c r="A39" s="319"/>
      <c r="B39" s="145" t="s">
        <v>290</v>
      </c>
      <c r="C39" s="146"/>
      <c r="D39" s="104" t="s">
        <v>66</v>
      </c>
      <c r="E39" s="105">
        <v>0</v>
      </c>
      <c r="F39" s="320">
        <f t="shared" si="13"/>
        <v>0</v>
      </c>
      <c r="G39" s="105">
        <v>0</v>
      </c>
      <c r="H39" s="104">
        <f t="shared" si="14"/>
        <v>0</v>
      </c>
      <c r="I39" s="105">
        <v>0</v>
      </c>
      <c r="J39" s="329">
        <f t="shared" si="15"/>
        <v>0</v>
      </c>
      <c r="K39" s="105">
        <v>0</v>
      </c>
      <c r="L39" s="329">
        <f t="shared" si="16"/>
        <v>0</v>
      </c>
      <c r="M39" s="105">
        <v>0</v>
      </c>
      <c r="N39" s="329">
        <f t="shared" si="17"/>
        <v>0</v>
      </c>
      <c r="O39" s="105">
        <v>0</v>
      </c>
      <c r="P39" s="329">
        <f t="shared" si="18"/>
        <v>0</v>
      </c>
      <c r="Q39" s="105">
        <v>0</v>
      </c>
      <c r="R39" s="329">
        <f t="shared" si="19"/>
        <v>0</v>
      </c>
      <c r="S39" s="105">
        <v>0</v>
      </c>
      <c r="T39" s="329">
        <f t="shared" si="20"/>
        <v>0</v>
      </c>
      <c r="U39" s="347">
        <f t="shared" si="9"/>
        <v>0</v>
      </c>
      <c r="V39" s="165">
        <f>'Memorial Custo'!E42</f>
        <v>459.46</v>
      </c>
      <c r="W39" s="363">
        <f t="shared" si="10"/>
        <v>0</v>
      </c>
      <c r="X39" s="312" t="s">
        <v>279</v>
      </c>
      <c r="Y39" s="313" t="s">
        <v>280</v>
      </c>
    </row>
    <row r="40" spans="1:25" s="14" customFormat="1" ht="31.5" customHeight="1" thickBot="1">
      <c r="A40" s="319"/>
      <c r="B40" s="145" t="s">
        <v>109</v>
      </c>
      <c r="C40" s="146"/>
      <c r="D40" s="104" t="s">
        <v>66</v>
      </c>
      <c r="E40" s="105">
        <v>6</v>
      </c>
      <c r="F40" s="320">
        <f t="shared" si="13"/>
        <v>3345.66</v>
      </c>
      <c r="G40" s="105">
        <v>1</v>
      </c>
      <c r="H40" s="104">
        <f t="shared" si="14"/>
        <v>557.61</v>
      </c>
      <c r="I40" s="105">
        <v>3</v>
      </c>
      <c r="J40" s="329">
        <f t="shared" si="15"/>
        <v>1672.83</v>
      </c>
      <c r="K40" s="105">
        <v>5</v>
      </c>
      <c r="L40" s="329">
        <f t="shared" si="16"/>
        <v>2788.05</v>
      </c>
      <c r="M40" s="105">
        <v>1</v>
      </c>
      <c r="N40" s="329">
        <f t="shared" si="17"/>
        <v>557.61</v>
      </c>
      <c r="O40" s="105">
        <v>0</v>
      </c>
      <c r="P40" s="329">
        <f t="shared" si="18"/>
        <v>0</v>
      </c>
      <c r="Q40" s="105">
        <v>4</v>
      </c>
      <c r="R40" s="329">
        <f t="shared" si="19"/>
        <v>2230.44</v>
      </c>
      <c r="S40" s="105">
        <v>2</v>
      </c>
      <c r="T40" s="329">
        <f t="shared" si="20"/>
        <v>1115.22</v>
      </c>
      <c r="U40" s="347">
        <f t="shared" si="9"/>
        <v>22</v>
      </c>
      <c r="V40" s="165">
        <f>'Memorial Custo'!E44</f>
        <v>557.61</v>
      </c>
      <c r="W40" s="363">
        <f t="shared" si="10"/>
        <v>12267.42</v>
      </c>
      <c r="X40" s="312" t="s">
        <v>279</v>
      </c>
      <c r="Y40" s="313" t="s">
        <v>280</v>
      </c>
    </row>
    <row r="41" spans="1:25" ht="27.75" customHeight="1" hidden="1">
      <c r="A41" s="154"/>
      <c r="B41" s="145" t="s">
        <v>353</v>
      </c>
      <c r="C41" s="146"/>
      <c r="D41" s="34" t="s">
        <v>66</v>
      </c>
      <c r="E41" s="36">
        <v>0</v>
      </c>
      <c r="F41" s="191">
        <f t="shared" si="13"/>
        <v>0</v>
      </c>
      <c r="G41" s="36">
        <v>0</v>
      </c>
      <c r="H41" s="168">
        <f t="shared" si="14"/>
        <v>0</v>
      </c>
      <c r="I41" s="36">
        <v>0</v>
      </c>
      <c r="J41" s="329">
        <f t="shared" si="15"/>
        <v>0</v>
      </c>
      <c r="K41" s="36">
        <v>0</v>
      </c>
      <c r="L41" s="329">
        <f t="shared" si="16"/>
        <v>0</v>
      </c>
      <c r="M41" s="36">
        <v>0</v>
      </c>
      <c r="N41" s="329">
        <f t="shared" si="17"/>
        <v>0</v>
      </c>
      <c r="O41" s="36">
        <v>0</v>
      </c>
      <c r="P41" s="329">
        <f t="shared" si="18"/>
        <v>0</v>
      </c>
      <c r="Q41" s="36">
        <v>0</v>
      </c>
      <c r="R41" s="329">
        <f t="shared" si="19"/>
        <v>0</v>
      </c>
      <c r="S41" s="36">
        <v>0</v>
      </c>
      <c r="T41" s="329">
        <f t="shared" si="20"/>
        <v>0</v>
      </c>
      <c r="U41" s="347">
        <f t="shared" si="9"/>
        <v>0</v>
      </c>
      <c r="V41" s="170">
        <f>'Memorial Custo'!E45</f>
        <v>736.04</v>
      </c>
      <c r="W41" s="363">
        <f t="shared" si="10"/>
        <v>0</v>
      </c>
      <c r="X41" s="74" t="s">
        <v>279</v>
      </c>
      <c r="Y41" s="75" t="s">
        <v>280</v>
      </c>
    </row>
    <row r="42" spans="1:25" ht="25.5" customHeight="1" hidden="1">
      <c r="A42" s="154"/>
      <c r="B42" s="145" t="s">
        <v>110</v>
      </c>
      <c r="C42" s="146"/>
      <c r="D42" s="34" t="s">
        <v>66</v>
      </c>
      <c r="E42" s="36">
        <v>0</v>
      </c>
      <c r="F42" s="191">
        <f t="shared" si="13"/>
        <v>0</v>
      </c>
      <c r="G42" s="36">
        <v>0</v>
      </c>
      <c r="H42" s="168">
        <f t="shared" si="14"/>
        <v>0</v>
      </c>
      <c r="I42" s="36">
        <v>0</v>
      </c>
      <c r="J42" s="329">
        <f t="shared" si="15"/>
        <v>0</v>
      </c>
      <c r="K42" s="36">
        <v>0</v>
      </c>
      <c r="L42" s="329">
        <f t="shared" si="16"/>
        <v>0</v>
      </c>
      <c r="M42" s="36">
        <v>0</v>
      </c>
      <c r="N42" s="329">
        <f t="shared" si="17"/>
        <v>0</v>
      </c>
      <c r="O42" s="36">
        <v>0</v>
      </c>
      <c r="P42" s="329">
        <f t="shared" si="18"/>
        <v>0</v>
      </c>
      <c r="Q42" s="36">
        <v>0</v>
      </c>
      <c r="R42" s="329">
        <f t="shared" si="19"/>
        <v>0</v>
      </c>
      <c r="S42" s="36">
        <v>0</v>
      </c>
      <c r="T42" s="329">
        <f t="shared" si="20"/>
        <v>0</v>
      </c>
      <c r="U42" s="347">
        <f t="shared" si="9"/>
        <v>0</v>
      </c>
      <c r="V42" s="170">
        <f>'Memorial Custo'!E46</f>
        <v>1226.73</v>
      </c>
      <c r="W42" s="363">
        <f t="shared" si="10"/>
        <v>0</v>
      </c>
      <c r="X42" s="74" t="s">
        <v>279</v>
      </c>
      <c r="Y42" s="75" t="s">
        <v>280</v>
      </c>
    </row>
    <row r="43" spans="1:25" ht="33" customHeight="1" hidden="1" thickBot="1">
      <c r="A43" s="155"/>
      <c r="B43" s="145" t="s">
        <v>291</v>
      </c>
      <c r="C43" s="146"/>
      <c r="D43" s="34" t="s">
        <v>68</v>
      </c>
      <c r="E43" s="36">
        <v>0</v>
      </c>
      <c r="F43" s="191">
        <f t="shared" si="13"/>
        <v>0</v>
      </c>
      <c r="G43" s="36">
        <v>0</v>
      </c>
      <c r="H43" s="168">
        <f t="shared" si="14"/>
        <v>0</v>
      </c>
      <c r="I43" s="36">
        <v>0</v>
      </c>
      <c r="J43" s="329">
        <f t="shared" si="15"/>
        <v>0</v>
      </c>
      <c r="K43" s="36">
        <v>0</v>
      </c>
      <c r="L43" s="329">
        <f t="shared" si="16"/>
        <v>0</v>
      </c>
      <c r="M43" s="36">
        <v>0</v>
      </c>
      <c r="N43" s="329">
        <f t="shared" si="17"/>
        <v>0</v>
      </c>
      <c r="O43" s="36">
        <v>0</v>
      </c>
      <c r="P43" s="329">
        <f t="shared" si="18"/>
        <v>0</v>
      </c>
      <c r="Q43" s="36">
        <v>0</v>
      </c>
      <c r="R43" s="329">
        <f t="shared" si="19"/>
        <v>0</v>
      </c>
      <c r="S43" s="36">
        <v>0</v>
      </c>
      <c r="T43" s="329">
        <f t="shared" si="20"/>
        <v>0</v>
      </c>
      <c r="U43" s="347">
        <f t="shared" si="9"/>
        <v>0</v>
      </c>
      <c r="V43" s="171">
        <v>16.3</v>
      </c>
      <c r="W43" s="363">
        <f t="shared" si="10"/>
        <v>0</v>
      </c>
      <c r="X43" s="71" t="s">
        <v>60</v>
      </c>
      <c r="Y43" s="73" t="s">
        <v>334</v>
      </c>
    </row>
    <row r="44" spans="1:25" ht="23.25" customHeight="1" hidden="1" thickTop="1">
      <c r="A44" s="155"/>
      <c r="B44" s="149"/>
      <c r="C44" s="150"/>
      <c r="D44" s="34" t="s">
        <v>102</v>
      </c>
      <c r="E44" s="36">
        <v>0</v>
      </c>
      <c r="F44" s="192">
        <f t="shared" si="13"/>
        <v>0</v>
      </c>
      <c r="G44" s="37">
        <v>0</v>
      </c>
      <c r="H44" s="168">
        <f t="shared" si="14"/>
        <v>0</v>
      </c>
      <c r="I44" s="37">
        <v>0</v>
      </c>
      <c r="J44" s="329">
        <f t="shared" si="15"/>
        <v>0</v>
      </c>
      <c r="K44" s="37">
        <v>0</v>
      </c>
      <c r="L44" s="329">
        <f t="shared" si="16"/>
        <v>0</v>
      </c>
      <c r="M44" s="37">
        <v>0</v>
      </c>
      <c r="N44" s="329">
        <f t="shared" si="17"/>
        <v>0</v>
      </c>
      <c r="O44" s="37">
        <v>0</v>
      </c>
      <c r="P44" s="329">
        <f t="shared" si="18"/>
        <v>0</v>
      </c>
      <c r="Q44" s="37">
        <v>0</v>
      </c>
      <c r="R44" s="329">
        <f t="shared" si="19"/>
        <v>0</v>
      </c>
      <c r="S44" s="37">
        <v>0</v>
      </c>
      <c r="T44" s="329">
        <f t="shared" si="20"/>
        <v>0</v>
      </c>
      <c r="U44" s="347">
        <v>0</v>
      </c>
      <c r="V44" s="172"/>
      <c r="W44" s="363">
        <f t="shared" si="10"/>
        <v>0</v>
      </c>
      <c r="X44" s="114"/>
      <c r="Y44" s="120"/>
    </row>
    <row r="45" spans="1:25" ht="18" customHeight="1" hidden="1">
      <c r="A45" s="155"/>
      <c r="B45" s="149"/>
      <c r="C45" s="150"/>
      <c r="D45" s="34"/>
      <c r="E45" s="36"/>
      <c r="F45" s="192">
        <f t="shared" si="13"/>
        <v>0</v>
      </c>
      <c r="G45" s="37"/>
      <c r="H45" s="168">
        <f t="shared" si="14"/>
        <v>0</v>
      </c>
      <c r="I45" s="37"/>
      <c r="J45" s="329">
        <f t="shared" si="15"/>
        <v>0</v>
      </c>
      <c r="K45" s="37"/>
      <c r="L45" s="329">
        <f t="shared" si="16"/>
        <v>0</v>
      </c>
      <c r="M45" s="37"/>
      <c r="N45" s="329">
        <f t="shared" si="17"/>
        <v>0</v>
      </c>
      <c r="O45" s="37"/>
      <c r="P45" s="329">
        <f t="shared" si="18"/>
        <v>0</v>
      </c>
      <c r="Q45" s="37"/>
      <c r="R45" s="329">
        <f t="shared" si="19"/>
        <v>0</v>
      </c>
      <c r="S45" s="37"/>
      <c r="T45" s="329">
        <f t="shared" si="20"/>
        <v>0</v>
      </c>
      <c r="U45" s="347">
        <f t="shared" si="9"/>
        <v>0</v>
      </c>
      <c r="V45" s="172"/>
      <c r="W45" s="363">
        <f t="shared" si="10"/>
        <v>0</v>
      </c>
      <c r="X45" s="114"/>
      <c r="Y45" s="120"/>
    </row>
    <row r="46" spans="1:25" ht="22.5" customHeight="1" hidden="1" thickBot="1">
      <c r="A46" s="156"/>
      <c r="B46" s="147"/>
      <c r="C46" s="148"/>
      <c r="D46" s="41"/>
      <c r="E46" s="45"/>
      <c r="F46" s="193">
        <f t="shared" si="13"/>
        <v>0</v>
      </c>
      <c r="G46" s="46"/>
      <c r="H46" s="188">
        <f t="shared" si="14"/>
        <v>0</v>
      </c>
      <c r="I46" s="46"/>
      <c r="J46" s="330">
        <f t="shared" si="15"/>
        <v>0</v>
      </c>
      <c r="K46" s="46"/>
      <c r="L46" s="330">
        <f t="shared" si="16"/>
        <v>0</v>
      </c>
      <c r="M46" s="46"/>
      <c r="N46" s="330">
        <f t="shared" si="17"/>
        <v>0</v>
      </c>
      <c r="O46" s="46"/>
      <c r="P46" s="330">
        <f t="shared" si="18"/>
        <v>0</v>
      </c>
      <c r="Q46" s="46"/>
      <c r="R46" s="330">
        <f t="shared" si="19"/>
        <v>0</v>
      </c>
      <c r="S46" s="46"/>
      <c r="T46" s="330">
        <f t="shared" si="20"/>
        <v>0</v>
      </c>
      <c r="U46" s="348">
        <f t="shared" si="9"/>
        <v>0</v>
      </c>
      <c r="V46" s="173"/>
      <c r="W46" s="364">
        <f t="shared" si="10"/>
        <v>0</v>
      </c>
      <c r="X46" s="121"/>
      <c r="Y46" s="122"/>
    </row>
    <row r="47" spans="1:26" ht="17.25" customHeight="1" thickBot="1" thickTop="1">
      <c r="A47" s="438" t="s">
        <v>124</v>
      </c>
      <c r="B47" s="438"/>
      <c r="C47" s="438"/>
      <c r="D47" s="438"/>
      <c r="E47" s="157"/>
      <c r="F47" s="189">
        <f>SUM(F29:F46)</f>
        <v>12618.03</v>
      </c>
      <c r="G47" s="157"/>
      <c r="H47" s="189">
        <f>SUM(H29:H46)</f>
        <v>6545.3099999999995</v>
      </c>
      <c r="I47" s="157"/>
      <c r="J47" s="331">
        <f>SUM(J29:J46)</f>
        <v>7209.48</v>
      </c>
      <c r="K47" s="157"/>
      <c r="L47" s="331">
        <f>SUM(L29:L46)</f>
        <v>7873.0199999999995</v>
      </c>
      <c r="M47" s="157"/>
      <c r="N47" s="331">
        <f>SUM(N29:N46)</f>
        <v>5973.299999999999</v>
      </c>
      <c r="O47" s="157"/>
      <c r="P47" s="331">
        <f>SUM(P29:P46)</f>
        <v>2148.39</v>
      </c>
      <c r="Q47" s="157"/>
      <c r="R47" s="331">
        <f>SUM(R29:R46)</f>
        <v>6573.540000000001</v>
      </c>
      <c r="S47" s="157"/>
      <c r="T47" s="331">
        <f>SUM(T29:T46)</f>
        <v>6640.29</v>
      </c>
      <c r="U47" s="349"/>
      <c r="V47" s="158"/>
      <c r="W47" s="365">
        <f>SUM(W29:W46)</f>
        <v>55581.36</v>
      </c>
      <c r="X47" s="69"/>
      <c r="Y47" s="6"/>
      <c r="Z47" s="51"/>
    </row>
    <row r="48" spans="1:25" ht="26.25" customHeight="1" hidden="1" thickTop="1">
      <c r="A48" s="462" t="s">
        <v>111</v>
      </c>
      <c r="B48" s="447" t="s">
        <v>299</v>
      </c>
      <c r="C48" s="448"/>
      <c r="D48" s="39" t="s">
        <v>107</v>
      </c>
      <c r="E48" s="43">
        <v>0</v>
      </c>
      <c r="F48" s="194">
        <f>E48*V48</f>
        <v>0</v>
      </c>
      <c r="G48" s="43">
        <v>0</v>
      </c>
      <c r="H48" s="187">
        <f>G48*V48</f>
        <v>0</v>
      </c>
      <c r="I48" s="43">
        <v>0</v>
      </c>
      <c r="J48" s="328">
        <f>I48*V48</f>
        <v>0</v>
      </c>
      <c r="K48" s="43">
        <v>0</v>
      </c>
      <c r="L48" s="328">
        <f>K48*V48</f>
        <v>0</v>
      </c>
      <c r="M48" s="43">
        <v>0</v>
      </c>
      <c r="N48" s="328">
        <f>M48*V48</f>
        <v>0</v>
      </c>
      <c r="O48" s="43">
        <v>0</v>
      </c>
      <c r="P48" s="328">
        <f>O48*V48</f>
        <v>0</v>
      </c>
      <c r="Q48" s="43">
        <v>0</v>
      </c>
      <c r="R48" s="328">
        <f>Q48*V48</f>
        <v>0</v>
      </c>
      <c r="S48" s="43">
        <v>0</v>
      </c>
      <c r="T48" s="328">
        <f>S48*V48</f>
        <v>0</v>
      </c>
      <c r="U48" s="346">
        <f>E48+G48+I48+K48+M48+O48+Q48+S48</f>
        <v>0</v>
      </c>
      <c r="V48" s="49">
        <v>136.23</v>
      </c>
      <c r="W48" s="362">
        <f t="shared" si="10"/>
        <v>0</v>
      </c>
      <c r="X48" s="71" t="s">
        <v>332</v>
      </c>
      <c r="Y48" s="70" t="s">
        <v>292</v>
      </c>
    </row>
    <row r="49" spans="1:25" ht="26.25" customHeight="1" hidden="1">
      <c r="A49" s="470"/>
      <c r="B49" s="449" t="s">
        <v>300</v>
      </c>
      <c r="C49" s="450"/>
      <c r="D49" s="34" t="s">
        <v>107</v>
      </c>
      <c r="E49" s="36">
        <v>0</v>
      </c>
      <c r="F49" s="192">
        <f aca="true" t="shared" si="21" ref="F49:F62">E49*V49</f>
        <v>0</v>
      </c>
      <c r="G49" s="36">
        <v>0</v>
      </c>
      <c r="H49" s="168">
        <f aca="true" t="shared" si="22" ref="H49:H62">G49*V49</f>
        <v>0</v>
      </c>
      <c r="I49" s="36">
        <v>0</v>
      </c>
      <c r="J49" s="329">
        <f aca="true" t="shared" si="23" ref="J49:J62">I49*V49</f>
        <v>0</v>
      </c>
      <c r="K49" s="36">
        <v>0</v>
      </c>
      <c r="L49" s="329">
        <f>K49*V49</f>
        <v>0</v>
      </c>
      <c r="M49" s="36">
        <v>0</v>
      </c>
      <c r="N49" s="329">
        <f aca="true" t="shared" si="24" ref="N49:N62">M49*V49</f>
        <v>0</v>
      </c>
      <c r="O49" s="36">
        <v>0</v>
      </c>
      <c r="P49" s="329">
        <f aca="true" t="shared" si="25" ref="P49:P61">O49*V49</f>
        <v>0</v>
      </c>
      <c r="Q49" s="36">
        <v>0</v>
      </c>
      <c r="R49" s="329">
        <f aca="true" t="shared" si="26" ref="R49:R62">Q49*V49</f>
        <v>0</v>
      </c>
      <c r="S49" s="36">
        <v>0</v>
      </c>
      <c r="T49" s="329">
        <f aca="true" t="shared" si="27" ref="T49:T62">S49*V49</f>
        <v>0</v>
      </c>
      <c r="U49" s="347">
        <f aca="true" t="shared" si="28" ref="U49:U69">E49+G49+I49+K49+M49+O49+Q49+S49</f>
        <v>0</v>
      </c>
      <c r="V49" s="50">
        <v>136.55</v>
      </c>
      <c r="W49" s="363">
        <f t="shared" si="10"/>
        <v>0</v>
      </c>
      <c r="X49" s="71" t="s">
        <v>379</v>
      </c>
      <c r="Y49" s="80" t="s">
        <v>293</v>
      </c>
    </row>
    <row r="50" spans="1:25" ht="24.75" customHeight="1" hidden="1">
      <c r="A50" s="463"/>
      <c r="B50" s="449" t="s">
        <v>301</v>
      </c>
      <c r="C50" s="450"/>
      <c r="D50" s="34" t="s">
        <v>107</v>
      </c>
      <c r="E50" s="36">
        <v>0</v>
      </c>
      <c r="F50" s="192">
        <f t="shared" si="21"/>
        <v>0</v>
      </c>
      <c r="G50" s="36">
        <v>0</v>
      </c>
      <c r="H50" s="168">
        <f t="shared" si="22"/>
        <v>0</v>
      </c>
      <c r="I50" s="36">
        <v>0</v>
      </c>
      <c r="J50" s="329">
        <f t="shared" si="23"/>
        <v>0</v>
      </c>
      <c r="K50" s="36">
        <v>0</v>
      </c>
      <c r="L50" s="329">
        <f aca="true" t="shared" si="29" ref="L50:L62">K50*V50</f>
        <v>0</v>
      </c>
      <c r="M50" s="36">
        <v>0</v>
      </c>
      <c r="N50" s="329">
        <f t="shared" si="24"/>
        <v>0</v>
      </c>
      <c r="O50" s="36">
        <v>0</v>
      </c>
      <c r="P50" s="329">
        <f t="shared" si="25"/>
        <v>0</v>
      </c>
      <c r="Q50" s="36">
        <v>0</v>
      </c>
      <c r="R50" s="329">
        <f t="shared" si="26"/>
        <v>0</v>
      </c>
      <c r="S50" s="36">
        <v>0</v>
      </c>
      <c r="T50" s="329">
        <f t="shared" si="27"/>
        <v>0</v>
      </c>
      <c r="U50" s="347">
        <f t="shared" si="28"/>
        <v>0</v>
      </c>
      <c r="V50" s="50">
        <v>201.44</v>
      </c>
      <c r="W50" s="363">
        <f t="shared" si="10"/>
        <v>0</v>
      </c>
      <c r="X50" s="71" t="s">
        <v>379</v>
      </c>
      <c r="Y50" s="80" t="s">
        <v>294</v>
      </c>
    </row>
    <row r="51" spans="1:25" ht="24.75" customHeight="1" hidden="1">
      <c r="A51" s="463"/>
      <c r="B51" s="449" t="s">
        <v>302</v>
      </c>
      <c r="C51" s="450"/>
      <c r="D51" s="34" t="s">
        <v>107</v>
      </c>
      <c r="E51" s="36">
        <v>0</v>
      </c>
      <c r="F51" s="192">
        <f t="shared" si="21"/>
        <v>0</v>
      </c>
      <c r="G51" s="36">
        <v>0</v>
      </c>
      <c r="H51" s="168">
        <f t="shared" si="22"/>
        <v>0</v>
      </c>
      <c r="I51" s="36">
        <v>0</v>
      </c>
      <c r="J51" s="329">
        <f t="shared" si="23"/>
        <v>0</v>
      </c>
      <c r="K51" s="36">
        <v>0</v>
      </c>
      <c r="L51" s="329">
        <f t="shared" si="29"/>
        <v>0</v>
      </c>
      <c r="M51" s="36">
        <v>0</v>
      </c>
      <c r="N51" s="329">
        <f t="shared" si="24"/>
        <v>0</v>
      </c>
      <c r="O51" s="36">
        <v>0</v>
      </c>
      <c r="P51" s="329">
        <f t="shared" si="25"/>
        <v>0</v>
      </c>
      <c r="Q51" s="36">
        <v>0</v>
      </c>
      <c r="R51" s="329">
        <f t="shared" si="26"/>
        <v>0</v>
      </c>
      <c r="S51" s="36">
        <v>0</v>
      </c>
      <c r="T51" s="329">
        <f t="shared" si="27"/>
        <v>0</v>
      </c>
      <c r="U51" s="347">
        <f t="shared" si="28"/>
        <v>0</v>
      </c>
      <c r="V51" s="50">
        <v>204.32</v>
      </c>
      <c r="W51" s="363">
        <f t="shared" si="10"/>
        <v>0</v>
      </c>
      <c r="X51" s="71" t="s">
        <v>379</v>
      </c>
      <c r="Y51" s="80" t="s">
        <v>295</v>
      </c>
    </row>
    <row r="52" spans="1:25" ht="24.75" customHeight="1" hidden="1">
      <c r="A52" s="463"/>
      <c r="B52" s="449" t="s">
        <v>303</v>
      </c>
      <c r="C52" s="450"/>
      <c r="D52" s="34" t="s">
        <v>107</v>
      </c>
      <c r="E52" s="36">
        <v>0</v>
      </c>
      <c r="F52" s="192">
        <f t="shared" si="21"/>
        <v>0</v>
      </c>
      <c r="G52" s="36">
        <v>0</v>
      </c>
      <c r="H52" s="168">
        <f t="shared" si="22"/>
        <v>0</v>
      </c>
      <c r="I52" s="36">
        <v>0</v>
      </c>
      <c r="J52" s="329">
        <f t="shared" si="23"/>
        <v>0</v>
      </c>
      <c r="K52" s="36">
        <v>0</v>
      </c>
      <c r="L52" s="329">
        <f t="shared" si="29"/>
        <v>0</v>
      </c>
      <c r="M52" s="36">
        <v>0</v>
      </c>
      <c r="N52" s="329">
        <f t="shared" si="24"/>
        <v>0</v>
      </c>
      <c r="O52" s="36">
        <v>0</v>
      </c>
      <c r="P52" s="329">
        <f t="shared" si="25"/>
        <v>0</v>
      </c>
      <c r="Q52" s="36">
        <v>0</v>
      </c>
      <c r="R52" s="329">
        <f t="shared" si="26"/>
        <v>0</v>
      </c>
      <c r="S52" s="36">
        <v>0</v>
      </c>
      <c r="T52" s="329">
        <f t="shared" si="27"/>
        <v>0</v>
      </c>
      <c r="U52" s="347">
        <f t="shared" si="28"/>
        <v>0</v>
      </c>
      <c r="V52" s="50">
        <v>320.57</v>
      </c>
      <c r="W52" s="363">
        <f t="shared" si="10"/>
        <v>0</v>
      </c>
      <c r="X52" s="71" t="s">
        <v>379</v>
      </c>
      <c r="Y52" s="80" t="s">
        <v>335</v>
      </c>
    </row>
    <row r="53" spans="1:25" ht="24.75" customHeight="1" hidden="1">
      <c r="A53" s="463"/>
      <c r="B53" s="449" t="s">
        <v>304</v>
      </c>
      <c r="C53" s="450"/>
      <c r="D53" s="34" t="s">
        <v>107</v>
      </c>
      <c r="E53" s="36">
        <v>0</v>
      </c>
      <c r="F53" s="192">
        <f t="shared" si="21"/>
        <v>0</v>
      </c>
      <c r="G53" s="36">
        <v>0</v>
      </c>
      <c r="H53" s="168">
        <f t="shared" si="22"/>
        <v>0</v>
      </c>
      <c r="I53" s="36">
        <v>0</v>
      </c>
      <c r="J53" s="329">
        <f t="shared" si="23"/>
        <v>0</v>
      </c>
      <c r="K53" s="36">
        <v>0</v>
      </c>
      <c r="L53" s="329">
        <f t="shared" si="29"/>
        <v>0</v>
      </c>
      <c r="M53" s="36">
        <v>0</v>
      </c>
      <c r="N53" s="329">
        <f t="shared" si="24"/>
        <v>0</v>
      </c>
      <c r="O53" s="36">
        <v>0</v>
      </c>
      <c r="P53" s="329">
        <f t="shared" si="25"/>
        <v>0</v>
      </c>
      <c r="Q53" s="36">
        <v>0</v>
      </c>
      <c r="R53" s="329">
        <f t="shared" si="26"/>
        <v>0</v>
      </c>
      <c r="S53" s="36">
        <v>0</v>
      </c>
      <c r="T53" s="329">
        <f t="shared" si="27"/>
        <v>0</v>
      </c>
      <c r="U53" s="347">
        <f t="shared" si="28"/>
        <v>0</v>
      </c>
      <c r="V53" s="50">
        <v>333.33</v>
      </c>
      <c r="W53" s="363">
        <f t="shared" si="10"/>
        <v>0</v>
      </c>
      <c r="X53" s="71" t="s">
        <v>379</v>
      </c>
      <c r="Y53" s="80" t="s">
        <v>296</v>
      </c>
    </row>
    <row r="54" spans="1:25" ht="24.75" customHeight="1" hidden="1">
      <c r="A54" s="463"/>
      <c r="B54" s="449" t="s">
        <v>305</v>
      </c>
      <c r="C54" s="450"/>
      <c r="D54" s="34" t="s">
        <v>107</v>
      </c>
      <c r="E54" s="36">
        <v>0</v>
      </c>
      <c r="F54" s="192">
        <f t="shared" si="21"/>
        <v>0</v>
      </c>
      <c r="G54" s="36">
        <v>0</v>
      </c>
      <c r="H54" s="168">
        <v>0</v>
      </c>
      <c r="I54" s="36">
        <v>0</v>
      </c>
      <c r="J54" s="329">
        <f t="shared" si="23"/>
        <v>0</v>
      </c>
      <c r="K54" s="36">
        <v>0</v>
      </c>
      <c r="L54" s="329">
        <f t="shared" si="29"/>
        <v>0</v>
      </c>
      <c r="M54" s="36">
        <v>0</v>
      </c>
      <c r="N54" s="329">
        <f t="shared" si="24"/>
        <v>0</v>
      </c>
      <c r="O54" s="36">
        <v>0</v>
      </c>
      <c r="P54" s="329">
        <f t="shared" si="25"/>
        <v>0</v>
      </c>
      <c r="Q54" s="36">
        <v>0</v>
      </c>
      <c r="R54" s="329">
        <f t="shared" si="26"/>
        <v>0</v>
      </c>
      <c r="S54" s="36">
        <v>0</v>
      </c>
      <c r="T54" s="329">
        <f t="shared" si="27"/>
        <v>0</v>
      </c>
      <c r="U54" s="347">
        <f t="shared" si="28"/>
        <v>0</v>
      </c>
      <c r="V54" s="50">
        <v>428.87</v>
      </c>
      <c r="W54" s="363">
        <f t="shared" si="10"/>
        <v>0</v>
      </c>
      <c r="X54" s="71" t="s">
        <v>379</v>
      </c>
      <c r="Y54" s="80" t="s">
        <v>297</v>
      </c>
    </row>
    <row r="55" spans="1:25" ht="24.75" customHeight="1" hidden="1">
      <c r="A55" s="463"/>
      <c r="B55" s="449" t="s">
        <v>306</v>
      </c>
      <c r="C55" s="450"/>
      <c r="D55" s="34" t="s">
        <v>107</v>
      </c>
      <c r="E55" s="36">
        <v>0</v>
      </c>
      <c r="F55" s="192">
        <f t="shared" si="21"/>
        <v>0</v>
      </c>
      <c r="G55" s="36">
        <v>0</v>
      </c>
      <c r="H55" s="168">
        <f t="shared" si="22"/>
        <v>0</v>
      </c>
      <c r="I55" s="36">
        <v>0</v>
      </c>
      <c r="J55" s="329">
        <f t="shared" si="23"/>
        <v>0</v>
      </c>
      <c r="K55" s="36">
        <v>0</v>
      </c>
      <c r="L55" s="329">
        <f t="shared" si="29"/>
        <v>0</v>
      </c>
      <c r="M55" s="36">
        <v>0</v>
      </c>
      <c r="N55" s="329">
        <f t="shared" si="24"/>
        <v>0</v>
      </c>
      <c r="O55" s="36">
        <v>0</v>
      </c>
      <c r="P55" s="329">
        <f t="shared" si="25"/>
        <v>0</v>
      </c>
      <c r="Q55" s="36">
        <v>0</v>
      </c>
      <c r="R55" s="329">
        <f t="shared" si="26"/>
        <v>0</v>
      </c>
      <c r="S55" s="36">
        <v>0</v>
      </c>
      <c r="T55" s="329">
        <f t="shared" si="27"/>
        <v>0</v>
      </c>
      <c r="U55" s="347">
        <f t="shared" si="28"/>
        <v>0</v>
      </c>
      <c r="V55" s="50">
        <v>458.75</v>
      </c>
      <c r="W55" s="363">
        <f t="shared" si="10"/>
        <v>0</v>
      </c>
      <c r="X55" s="71" t="s">
        <v>379</v>
      </c>
      <c r="Y55" s="80" t="s">
        <v>298</v>
      </c>
    </row>
    <row r="56" spans="1:25" ht="29.25" customHeight="1" hidden="1">
      <c r="A56" s="463"/>
      <c r="B56" s="441" t="s">
        <v>112</v>
      </c>
      <c r="C56" s="442"/>
      <c r="D56" s="34" t="s">
        <v>250</v>
      </c>
      <c r="E56" s="36">
        <v>0</v>
      </c>
      <c r="F56" s="192">
        <f t="shared" si="21"/>
        <v>0</v>
      </c>
      <c r="G56" s="36">
        <v>0</v>
      </c>
      <c r="H56" s="168">
        <f t="shared" si="22"/>
        <v>0</v>
      </c>
      <c r="I56" s="36">
        <v>0</v>
      </c>
      <c r="J56" s="329">
        <f t="shared" si="23"/>
        <v>0</v>
      </c>
      <c r="K56" s="36">
        <v>0</v>
      </c>
      <c r="L56" s="329">
        <f t="shared" si="29"/>
        <v>0</v>
      </c>
      <c r="M56" s="36">
        <v>0</v>
      </c>
      <c r="N56" s="329">
        <f t="shared" si="24"/>
        <v>0</v>
      </c>
      <c r="O56" s="36">
        <v>0</v>
      </c>
      <c r="P56" s="329">
        <f t="shared" si="25"/>
        <v>0</v>
      </c>
      <c r="Q56" s="36">
        <v>0</v>
      </c>
      <c r="R56" s="329">
        <f t="shared" si="26"/>
        <v>0</v>
      </c>
      <c r="S56" s="36">
        <v>0</v>
      </c>
      <c r="T56" s="329">
        <f t="shared" si="27"/>
        <v>0</v>
      </c>
      <c r="U56" s="347">
        <f t="shared" si="28"/>
        <v>0</v>
      </c>
      <c r="V56" s="50">
        <f>'Memorial Custo'!F65</f>
        <v>160.98</v>
      </c>
      <c r="W56" s="363">
        <f t="shared" si="10"/>
        <v>0</v>
      </c>
      <c r="X56" s="74" t="s">
        <v>279</v>
      </c>
      <c r="Y56" s="75" t="s">
        <v>280</v>
      </c>
    </row>
    <row r="57" spans="1:25" ht="28.5" customHeight="1" hidden="1">
      <c r="A57" s="463"/>
      <c r="B57" s="441" t="s">
        <v>165</v>
      </c>
      <c r="C57" s="442"/>
      <c r="D57" s="34" t="s">
        <v>250</v>
      </c>
      <c r="E57" s="36">
        <v>0</v>
      </c>
      <c r="F57" s="192">
        <f t="shared" si="21"/>
        <v>0</v>
      </c>
      <c r="G57" s="36">
        <v>0</v>
      </c>
      <c r="H57" s="168">
        <f t="shared" si="22"/>
        <v>0</v>
      </c>
      <c r="I57" s="36">
        <v>0</v>
      </c>
      <c r="J57" s="329">
        <f t="shared" si="23"/>
        <v>0</v>
      </c>
      <c r="K57" s="36">
        <v>0</v>
      </c>
      <c r="L57" s="329">
        <f t="shared" si="29"/>
        <v>0</v>
      </c>
      <c r="M57" s="36">
        <v>0</v>
      </c>
      <c r="N57" s="329">
        <f t="shared" si="24"/>
        <v>0</v>
      </c>
      <c r="O57" s="36">
        <v>0</v>
      </c>
      <c r="P57" s="329">
        <f t="shared" si="25"/>
        <v>0</v>
      </c>
      <c r="Q57" s="36">
        <v>0</v>
      </c>
      <c r="R57" s="329">
        <f t="shared" si="26"/>
        <v>0</v>
      </c>
      <c r="S57" s="36">
        <v>0</v>
      </c>
      <c r="T57" s="329">
        <f t="shared" si="27"/>
        <v>0</v>
      </c>
      <c r="U57" s="347">
        <f t="shared" si="28"/>
        <v>0</v>
      </c>
      <c r="V57" s="50">
        <f>'Memorial Custo'!F70</f>
        <v>196.61</v>
      </c>
      <c r="W57" s="363">
        <f t="shared" si="10"/>
        <v>0</v>
      </c>
      <c r="X57" s="74" t="s">
        <v>279</v>
      </c>
      <c r="Y57" s="75" t="s">
        <v>280</v>
      </c>
    </row>
    <row r="58" spans="1:25" ht="29.25" customHeight="1" hidden="1">
      <c r="A58" s="463"/>
      <c r="B58" s="441" t="s">
        <v>113</v>
      </c>
      <c r="C58" s="442"/>
      <c r="D58" s="34" t="s">
        <v>250</v>
      </c>
      <c r="E58" s="36">
        <v>0</v>
      </c>
      <c r="F58" s="192">
        <f t="shared" si="21"/>
        <v>0</v>
      </c>
      <c r="G58" s="36">
        <v>0</v>
      </c>
      <c r="H58" s="168">
        <f t="shared" si="22"/>
        <v>0</v>
      </c>
      <c r="I58" s="36">
        <v>0</v>
      </c>
      <c r="J58" s="329">
        <f t="shared" si="23"/>
        <v>0</v>
      </c>
      <c r="K58" s="36">
        <v>0</v>
      </c>
      <c r="L58" s="329">
        <f t="shared" si="29"/>
        <v>0</v>
      </c>
      <c r="M58" s="36">
        <v>0</v>
      </c>
      <c r="N58" s="329">
        <f t="shared" si="24"/>
        <v>0</v>
      </c>
      <c r="O58" s="36">
        <v>0</v>
      </c>
      <c r="P58" s="329">
        <f t="shared" si="25"/>
        <v>0</v>
      </c>
      <c r="Q58" s="36">
        <v>0</v>
      </c>
      <c r="R58" s="329">
        <f t="shared" si="26"/>
        <v>0</v>
      </c>
      <c r="S58" s="36">
        <v>0</v>
      </c>
      <c r="T58" s="329">
        <f t="shared" si="27"/>
        <v>0</v>
      </c>
      <c r="U58" s="347">
        <f t="shared" si="28"/>
        <v>0</v>
      </c>
      <c r="V58" s="50">
        <f>'Memorial Custo'!F75</f>
        <v>302.13</v>
      </c>
      <c r="W58" s="363">
        <f t="shared" si="10"/>
        <v>0</v>
      </c>
      <c r="X58" s="74" t="s">
        <v>279</v>
      </c>
      <c r="Y58" s="75" t="s">
        <v>280</v>
      </c>
    </row>
    <row r="59" spans="1:25" ht="26.25" customHeight="1" hidden="1">
      <c r="A59" s="463"/>
      <c r="B59" s="441" t="s">
        <v>166</v>
      </c>
      <c r="C59" s="442"/>
      <c r="D59" s="34" t="s">
        <v>250</v>
      </c>
      <c r="E59" s="36">
        <v>0</v>
      </c>
      <c r="F59" s="192">
        <f t="shared" si="21"/>
        <v>0</v>
      </c>
      <c r="G59" s="36">
        <v>0</v>
      </c>
      <c r="H59" s="168">
        <f t="shared" si="22"/>
        <v>0</v>
      </c>
      <c r="I59" s="36">
        <v>0</v>
      </c>
      <c r="J59" s="329">
        <f t="shared" si="23"/>
        <v>0</v>
      </c>
      <c r="K59" s="36">
        <v>0</v>
      </c>
      <c r="L59" s="329">
        <f t="shared" si="29"/>
        <v>0</v>
      </c>
      <c r="M59" s="36">
        <v>0</v>
      </c>
      <c r="N59" s="329">
        <f t="shared" si="24"/>
        <v>0</v>
      </c>
      <c r="O59" s="36">
        <v>0</v>
      </c>
      <c r="P59" s="329">
        <f t="shared" si="25"/>
        <v>0</v>
      </c>
      <c r="Q59" s="36">
        <v>0</v>
      </c>
      <c r="R59" s="329">
        <f t="shared" si="26"/>
        <v>0</v>
      </c>
      <c r="S59" s="36">
        <v>0</v>
      </c>
      <c r="T59" s="329">
        <f t="shared" si="27"/>
        <v>0</v>
      </c>
      <c r="U59" s="347">
        <f t="shared" si="28"/>
        <v>0</v>
      </c>
      <c r="V59" s="50">
        <f>'Memorial Custo'!F80</f>
        <v>405.49</v>
      </c>
      <c r="W59" s="363">
        <f t="shared" si="10"/>
        <v>0</v>
      </c>
      <c r="X59" s="74" t="s">
        <v>279</v>
      </c>
      <c r="Y59" s="75" t="s">
        <v>280</v>
      </c>
    </row>
    <row r="60" spans="1:25" ht="31.5" customHeight="1" hidden="1">
      <c r="A60" s="471"/>
      <c r="B60" s="451" t="s">
        <v>114</v>
      </c>
      <c r="C60" s="452"/>
      <c r="D60" s="34" t="s">
        <v>250</v>
      </c>
      <c r="E60" s="36"/>
      <c r="F60" s="192">
        <f t="shared" si="21"/>
        <v>0</v>
      </c>
      <c r="G60" s="37"/>
      <c r="H60" s="168">
        <f t="shared" si="22"/>
        <v>0</v>
      </c>
      <c r="I60" s="37"/>
      <c r="J60" s="329">
        <f t="shared" si="23"/>
        <v>0</v>
      </c>
      <c r="K60" s="37"/>
      <c r="L60" s="329">
        <f t="shared" si="29"/>
        <v>0</v>
      </c>
      <c r="M60" s="37"/>
      <c r="N60" s="329">
        <f t="shared" si="24"/>
        <v>0</v>
      </c>
      <c r="O60" s="37"/>
      <c r="P60" s="329">
        <f t="shared" si="25"/>
        <v>0</v>
      </c>
      <c r="Q60" s="37"/>
      <c r="R60" s="329">
        <f t="shared" si="26"/>
        <v>0</v>
      </c>
      <c r="S60" s="37"/>
      <c r="T60" s="329">
        <f t="shared" si="27"/>
        <v>0</v>
      </c>
      <c r="U60" s="347">
        <f t="shared" si="28"/>
        <v>0</v>
      </c>
      <c r="V60" s="119"/>
      <c r="W60" s="363">
        <f t="shared" si="10"/>
        <v>0</v>
      </c>
      <c r="X60" s="123"/>
      <c r="Y60" s="120"/>
    </row>
    <row r="61" spans="1:25" ht="18.75" customHeight="1" hidden="1">
      <c r="A61" s="471"/>
      <c r="B61" s="508"/>
      <c r="C61" s="509"/>
      <c r="D61" s="34"/>
      <c r="E61" s="36"/>
      <c r="F61" s="192">
        <f t="shared" si="21"/>
        <v>0</v>
      </c>
      <c r="G61" s="37"/>
      <c r="H61" s="168">
        <f t="shared" si="22"/>
        <v>0</v>
      </c>
      <c r="I61" s="37"/>
      <c r="J61" s="329">
        <f t="shared" si="23"/>
        <v>0</v>
      </c>
      <c r="K61" s="37"/>
      <c r="L61" s="329">
        <f t="shared" si="29"/>
        <v>0</v>
      </c>
      <c r="M61" s="37"/>
      <c r="N61" s="329">
        <f t="shared" si="24"/>
        <v>0</v>
      </c>
      <c r="O61" s="37"/>
      <c r="P61" s="329">
        <f t="shared" si="25"/>
        <v>0</v>
      </c>
      <c r="Q61" s="37"/>
      <c r="R61" s="329">
        <f t="shared" si="26"/>
        <v>0</v>
      </c>
      <c r="S61" s="37"/>
      <c r="T61" s="329">
        <f t="shared" si="27"/>
        <v>0</v>
      </c>
      <c r="U61" s="347">
        <f t="shared" si="28"/>
        <v>0</v>
      </c>
      <c r="V61" s="119"/>
      <c r="W61" s="363">
        <f t="shared" si="10"/>
        <v>0</v>
      </c>
      <c r="X61" s="123"/>
      <c r="Y61" s="120"/>
    </row>
    <row r="62" spans="1:25" ht="21.75" customHeight="1" hidden="1" thickBot="1">
      <c r="A62" s="472"/>
      <c r="B62" s="466"/>
      <c r="C62" s="467"/>
      <c r="D62" s="41"/>
      <c r="E62" s="45"/>
      <c r="F62" s="193">
        <f t="shared" si="21"/>
        <v>0</v>
      </c>
      <c r="G62" s="46"/>
      <c r="H62" s="188">
        <f t="shared" si="22"/>
        <v>0</v>
      </c>
      <c r="I62" s="46"/>
      <c r="J62" s="330">
        <f t="shared" si="23"/>
        <v>0</v>
      </c>
      <c r="K62" s="46"/>
      <c r="L62" s="330">
        <f t="shared" si="29"/>
        <v>0</v>
      </c>
      <c r="M62" s="46"/>
      <c r="N62" s="330">
        <f t="shared" si="24"/>
        <v>0</v>
      </c>
      <c r="O62" s="46"/>
      <c r="P62" s="330"/>
      <c r="Q62" s="46"/>
      <c r="R62" s="330">
        <f t="shared" si="26"/>
        <v>0</v>
      </c>
      <c r="S62" s="46"/>
      <c r="T62" s="330">
        <f t="shared" si="27"/>
        <v>0</v>
      </c>
      <c r="U62" s="348">
        <f t="shared" si="28"/>
        <v>0</v>
      </c>
      <c r="V62" s="116"/>
      <c r="W62" s="364">
        <f t="shared" si="10"/>
        <v>0</v>
      </c>
      <c r="X62" s="121"/>
      <c r="Y62" s="122"/>
    </row>
    <row r="63" spans="1:26" ht="20.25" customHeight="1" thickBot="1" thickTop="1">
      <c r="A63" s="438" t="s">
        <v>130</v>
      </c>
      <c r="B63" s="460"/>
      <c r="C63" s="460"/>
      <c r="D63" s="517"/>
      <c r="E63" s="517"/>
      <c r="F63" s="179">
        <f>SUM(F48:F62)</f>
        <v>0</v>
      </c>
      <c r="G63" s="162"/>
      <c r="H63" s="179">
        <f>SUM(H48:H62)</f>
        <v>0</v>
      </c>
      <c r="I63" s="162"/>
      <c r="J63" s="332">
        <f>SUM(J48:J62)</f>
        <v>0</v>
      </c>
      <c r="K63" s="162"/>
      <c r="L63" s="332">
        <f>SUM(L48:L62)</f>
        <v>0</v>
      </c>
      <c r="M63" s="162"/>
      <c r="N63" s="332">
        <f>SUM(N48:N62)</f>
        <v>0</v>
      </c>
      <c r="O63" s="162"/>
      <c r="P63" s="332">
        <f>SUM(P48:P62)</f>
        <v>0</v>
      </c>
      <c r="Q63" s="162"/>
      <c r="R63" s="332">
        <f>SUM(R48:R62)</f>
        <v>0</v>
      </c>
      <c r="S63" s="162"/>
      <c r="T63" s="332">
        <f>SUM(T48:T62)</f>
        <v>0</v>
      </c>
      <c r="U63" s="351"/>
      <c r="W63" s="365">
        <f>SUM(W48:W62)</f>
        <v>0</v>
      </c>
      <c r="X63" s="69"/>
      <c r="Y63" s="6"/>
      <c r="Z63" s="51"/>
    </row>
    <row r="64" spans="1:25" ht="30" customHeight="1" hidden="1" thickTop="1">
      <c r="A64" s="462" t="s">
        <v>115</v>
      </c>
      <c r="B64" s="518" t="s">
        <v>116</v>
      </c>
      <c r="C64" s="518"/>
      <c r="D64" s="39" t="s">
        <v>67</v>
      </c>
      <c r="E64" s="43">
        <v>0</v>
      </c>
      <c r="F64" s="194">
        <f>E64*V64</f>
        <v>0</v>
      </c>
      <c r="G64" s="44">
        <v>0</v>
      </c>
      <c r="H64" s="187">
        <f>G64*V64</f>
        <v>0</v>
      </c>
      <c r="I64" s="44">
        <v>0</v>
      </c>
      <c r="J64" s="328">
        <f>I64*V64</f>
        <v>0</v>
      </c>
      <c r="K64" s="44">
        <v>0</v>
      </c>
      <c r="L64" s="328">
        <f>K64*V64</f>
        <v>0</v>
      </c>
      <c r="M64" s="44">
        <v>0</v>
      </c>
      <c r="N64" s="328">
        <f>M64*V64</f>
        <v>0</v>
      </c>
      <c r="O64" s="44">
        <v>0</v>
      </c>
      <c r="P64" s="328">
        <f>O64*V64</f>
        <v>0</v>
      </c>
      <c r="Q64" s="44">
        <v>0</v>
      </c>
      <c r="R64" s="328">
        <f>Q64*V64</f>
        <v>0</v>
      </c>
      <c r="S64" s="44">
        <v>0</v>
      </c>
      <c r="T64" s="328">
        <f>S64*V64</f>
        <v>0</v>
      </c>
      <c r="U64" s="346">
        <f t="shared" si="28"/>
        <v>0</v>
      </c>
      <c r="V64" s="124">
        <v>25.32</v>
      </c>
      <c r="W64" s="362">
        <f t="shared" si="10"/>
        <v>0</v>
      </c>
      <c r="X64" s="126"/>
      <c r="Y64" s="127"/>
    </row>
    <row r="65" spans="1:25" ht="30" customHeight="1" hidden="1">
      <c r="A65" s="494"/>
      <c r="B65" s="519" t="s">
        <v>117</v>
      </c>
      <c r="C65" s="519"/>
      <c r="D65" s="34" t="s">
        <v>67</v>
      </c>
      <c r="E65" s="36"/>
      <c r="F65" s="192">
        <f>E65*V65</f>
        <v>0</v>
      </c>
      <c r="G65" s="37"/>
      <c r="H65" s="168">
        <f>G65*V65</f>
        <v>0</v>
      </c>
      <c r="I65" s="37"/>
      <c r="J65" s="329">
        <f>I65*V65</f>
        <v>0</v>
      </c>
      <c r="K65" s="37"/>
      <c r="L65" s="329">
        <f>K65*V65</f>
        <v>0</v>
      </c>
      <c r="M65" s="37"/>
      <c r="N65" s="329">
        <f>M65*V65</f>
        <v>0</v>
      </c>
      <c r="O65" s="37"/>
      <c r="P65" s="329">
        <f>O65*V65</f>
        <v>0</v>
      </c>
      <c r="Q65" s="37"/>
      <c r="R65" s="329">
        <f>Q65*V65</f>
        <v>0</v>
      </c>
      <c r="S65" s="37"/>
      <c r="T65" s="329">
        <f>S65*V65</f>
        <v>0</v>
      </c>
      <c r="U65" s="347">
        <f t="shared" si="28"/>
        <v>0</v>
      </c>
      <c r="V65" s="133"/>
      <c r="W65" s="363">
        <f t="shared" si="10"/>
        <v>0</v>
      </c>
      <c r="X65" s="128"/>
      <c r="Y65" s="129"/>
    </row>
    <row r="66" spans="1:25" ht="18" customHeight="1" hidden="1" thickBot="1">
      <c r="A66" s="472"/>
      <c r="B66" s="520"/>
      <c r="C66" s="520"/>
      <c r="D66" s="41" t="s">
        <v>67</v>
      </c>
      <c r="E66" s="45"/>
      <c r="F66" s="193">
        <f>E66*V66</f>
        <v>0</v>
      </c>
      <c r="G66" s="46"/>
      <c r="H66" s="188">
        <f>G66*V66</f>
        <v>0</v>
      </c>
      <c r="I66" s="46"/>
      <c r="J66" s="330">
        <f>I66*V66</f>
        <v>0</v>
      </c>
      <c r="K66" s="46"/>
      <c r="L66" s="330">
        <f>K66*V66</f>
        <v>0</v>
      </c>
      <c r="M66" s="46"/>
      <c r="N66" s="330">
        <f>M66*V66</f>
        <v>0</v>
      </c>
      <c r="O66" s="46"/>
      <c r="P66" s="330">
        <f>O66*V66</f>
        <v>0</v>
      </c>
      <c r="Q66" s="46"/>
      <c r="R66" s="330">
        <f>Q66*V66</f>
        <v>0</v>
      </c>
      <c r="S66" s="46"/>
      <c r="T66" s="330">
        <f>S66*V66</f>
        <v>0</v>
      </c>
      <c r="U66" s="348">
        <f t="shared" si="28"/>
        <v>0</v>
      </c>
      <c r="V66" s="125"/>
      <c r="W66" s="364">
        <f t="shared" si="10"/>
        <v>0</v>
      </c>
      <c r="X66" s="121"/>
      <c r="Y66" s="122"/>
    </row>
    <row r="67" spans="1:26" ht="20.25" customHeight="1" thickBot="1" thickTop="1">
      <c r="A67" s="438" t="s">
        <v>126</v>
      </c>
      <c r="B67" s="516"/>
      <c r="C67" s="516"/>
      <c r="D67" s="516"/>
      <c r="E67" s="516"/>
      <c r="F67" s="196">
        <f>SUM(F64:F66)</f>
        <v>0</v>
      </c>
      <c r="G67" s="195"/>
      <c r="H67" s="196">
        <f>SUM(H64:H66)</f>
        <v>0</v>
      </c>
      <c r="I67" s="195"/>
      <c r="J67" s="322">
        <f>SUM(J64:J66)</f>
        <v>0</v>
      </c>
      <c r="K67" s="195"/>
      <c r="L67" s="322">
        <f>SUM(L64:L66)</f>
        <v>0</v>
      </c>
      <c r="M67" s="195"/>
      <c r="N67" s="322">
        <f>SUM(N64:N66)</f>
        <v>0</v>
      </c>
      <c r="O67" s="195"/>
      <c r="P67" s="322">
        <f>SUM(P64:P66)</f>
        <v>0</v>
      </c>
      <c r="Q67" s="195"/>
      <c r="R67" s="322">
        <f>SUM(R64:R66)</f>
        <v>0</v>
      </c>
      <c r="S67" s="195"/>
      <c r="T67" s="322">
        <f>SUM(T64:T66)</f>
        <v>0</v>
      </c>
      <c r="U67" s="349"/>
      <c r="V67" s="158"/>
      <c r="W67" s="365">
        <f>SUM(W64:W66)</f>
        <v>0</v>
      </c>
      <c r="X67" s="69"/>
      <c r="Y67" s="6"/>
      <c r="Z67" s="51"/>
    </row>
    <row r="68" spans="1:25" ht="20.25" customHeight="1" hidden="1" thickTop="1">
      <c r="A68" s="462" t="s">
        <v>119</v>
      </c>
      <c r="B68" s="506"/>
      <c r="C68" s="507"/>
      <c r="D68" s="39"/>
      <c r="E68" s="43">
        <v>0</v>
      </c>
      <c r="F68" s="194">
        <f>E68*V68</f>
        <v>0</v>
      </c>
      <c r="G68" s="44">
        <v>0</v>
      </c>
      <c r="H68" s="187">
        <f>G68*V68</f>
        <v>0</v>
      </c>
      <c r="I68" s="44">
        <v>0</v>
      </c>
      <c r="J68" s="328">
        <f>I68*V68</f>
        <v>0</v>
      </c>
      <c r="K68" s="44">
        <v>0</v>
      </c>
      <c r="L68" s="328">
        <f>K68*V68</f>
        <v>0</v>
      </c>
      <c r="M68" s="44">
        <v>0</v>
      </c>
      <c r="N68" s="328">
        <f>M68*V68</f>
        <v>0</v>
      </c>
      <c r="O68" s="44">
        <v>0</v>
      </c>
      <c r="P68" s="328">
        <f>O68*V68</f>
        <v>0</v>
      </c>
      <c r="Q68" s="44">
        <v>0</v>
      </c>
      <c r="R68" s="328">
        <f>Q68*V68</f>
        <v>0</v>
      </c>
      <c r="S68" s="44">
        <v>0</v>
      </c>
      <c r="T68" s="328">
        <f>S68*V68</f>
        <v>0</v>
      </c>
      <c r="U68" s="346">
        <f t="shared" si="28"/>
        <v>0</v>
      </c>
      <c r="V68" s="124">
        <v>40.44</v>
      </c>
      <c r="W68" s="366">
        <f t="shared" si="10"/>
        <v>0</v>
      </c>
      <c r="X68" s="130"/>
      <c r="Y68" s="127"/>
    </row>
    <row r="69" spans="1:25" ht="41.25" customHeight="1" hidden="1" thickBot="1">
      <c r="A69" s="463"/>
      <c r="B69" s="508"/>
      <c r="C69" s="509"/>
      <c r="D69" s="34"/>
      <c r="E69" s="36"/>
      <c r="F69" s="193">
        <f>E69*V69</f>
        <v>0</v>
      </c>
      <c r="G69" s="46"/>
      <c r="H69" s="188">
        <f>G69*V69</f>
        <v>0</v>
      </c>
      <c r="I69" s="46"/>
      <c r="J69" s="330">
        <f>I69*V69</f>
        <v>0</v>
      </c>
      <c r="K69" s="46"/>
      <c r="L69" s="330">
        <f>K69*V69</f>
        <v>0</v>
      </c>
      <c r="M69" s="46"/>
      <c r="N69" s="330">
        <f>M69*V69</f>
        <v>0</v>
      </c>
      <c r="O69" s="46"/>
      <c r="P69" s="330">
        <f>O69*V69</f>
        <v>0</v>
      </c>
      <c r="Q69" s="46"/>
      <c r="R69" s="330">
        <f>Q69*V69</f>
        <v>0</v>
      </c>
      <c r="S69" s="46"/>
      <c r="T69" s="330">
        <f>S69*V69</f>
        <v>0</v>
      </c>
      <c r="U69" s="348">
        <f t="shared" si="28"/>
        <v>0</v>
      </c>
      <c r="V69" s="125"/>
      <c r="W69" s="367">
        <f t="shared" si="10"/>
        <v>0</v>
      </c>
      <c r="X69" s="131"/>
      <c r="Y69" s="132"/>
    </row>
    <row r="70" spans="1:26" ht="19.5" customHeight="1" thickBot="1" thickTop="1">
      <c r="A70" s="512" t="s">
        <v>129</v>
      </c>
      <c r="B70" s="513"/>
      <c r="C70" s="513"/>
      <c r="D70" s="513"/>
      <c r="E70" s="163"/>
      <c r="F70" s="197">
        <f>SUM(F68:F69)</f>
        <v>0</v>
      </c>
      <c r="G70" s="198"/>
      <c r="H70" s="197">
        <f>SUM(H68:H69)</f>
        <v>0</v>
      </c>
      <c r="I70" s="198"/>
      <c r="J70" s="333">
        <f>SUM(J68:J69)</f>
        <v>0</v>
      </c>
      <c r="K70" s="198"/>
      <c r="L70" s="333">
        <f>SUM(L68:L69)</f>
        <v>0</v>
      </c>
      <c r="M70" s="198"/>
      <c r="N70" s="333">
        <f>SUM(N68:N69)</f>
        <v>0</v>
      </c>
      <c r="O70" s="198"/>
      <c r="P70" s="333">
        <f>SUM(P68:P69)</f>
        <v>0</v>
      </c>
      <c r="Q70" s="198"/>
      <c r="R70" s="333">
        <f>SUM(R68:R69)</f>
        <v>0</v>
      </c>
      <c r="S70" s="198"/>
      <c r="T70" s="333">
        <f>SUM(T68:T69)</f>
        <v>0</v>
      </c>
      <c r="U70" s="352"/>
      <c r="V70" s="164"/>
      <c r="W70" s="368">
        <f>SUM(W68:W69)</f>
        <v>0</v>
      </c>
      <c r="X70" s="69"/>
      <c r="Y70" s="6"/>
      <c r="Z70" s="51"/>
    </row>
    <row r="71" spans="1:26" ht="27" customHeight="1" thickBot="1" thickTop="1">
      <c r="A71" s="438" t="s">
        <v>225</v>
      </c>
      <c r="B71" s="438"/>
      <c r="C71" s="438"/>
      <c r="D71" s="438"/>
      <c r="E71" s="157"/>
      <c r="F71" s="211">
        <f>F47+F63+F67+F70</f>
        <v>12618.03</v>
      </c>
      <c r="G71" s="211"/>
      <c r="H71" s="211">
        <f>H47+H63+H67+H70</f>
        <v>6545.3099999999995</v>
      </c>
      <c r="I71" s="211"/>
      <c r="J71" s="327">
        <f>J47+J63+J67+J70</f>
        <v>7209.48</v>
      </c>
      <c r="K71" s="211"/>
      <c r="L71" s="327">
        <f>L47+L63+L67+L70</f>
        <v>7873.0199999999995</v>
      </c>
      <c r="M71" s="211"/>
      <c r="N71" s="327">
        <f>N47+N63+N67+N70</f>
        <v>5973.299999999999</v>
      </c>
      <c r="O71" s="211"/>
      <c r="P71" s="327">
        <f>P47+P63+P67+P70</f>
        <v>2148.39</v>
      </c>
      <c r="Q71" s="211"/>
      <c r="R71" s="327">
        <f>R47+R63+R67+R70</f>
        <v>6573.540000000001</v>
      </c>
      <c r="S71" s="211"/>
      <c r="T71" s="327">
        <f>T47+T63+T67+T70</f>
        <v>6640.29</v>
      </c>
      <c r="U71" s="353"/>
      <c r="V71" s="212"/>
      <c r="W71" s="365">
        <f>W70+W67+W63+W47</f>
        <v>55581.36</v>
      </c>
      <c r="X71" s="69"/>
      <c r="Y71" s="6"/>
      <c r="Z71" s="51"/>
    </row>
    <row r="72" spans="1:25" ht="80.25" customHeight="1" hidden="1" thickTop="1">
      <c r="A72" s="500"/>
      <c r="B72" s="510" t="s">
        <v>259</v>
      </c>
      <c r="C72" s="511"/>
      <c r="D72" s="39" t="s">
        <v>68</v>
      </c>
      <c r="E72" s="43">
        <v>0</v>
      </c>
      <c r="F72" s="199">
        <f>E72*V72</f>
        <v>0</v>
      </c>
      <c r="G72" s="44">
        <v>0</v>
      </c>
      <c r="H72" s="200">
        <f>G72*V72</f>
        <v>0</v>
      </c>
      <c r="I72" s="44">
        <v>0</v>
      </c>
      <c r="J72" s="334">
        <f>I72*V72</f>
        <v>0</v>
      </c>
      <c r="K72" s="44">
        <v>0</v>
      </c>
      <c r="L72" s="334">
        <f>K72*V72</f>
        <v>0</v>
      </c>
      <c r="M72" s="44">
        <v>0</v>
      </c>
      <c r="N72" s="334">
        <f>M72*V72</f>
        <v>0</v>
      </c>
      <c r="O72" s="44">
        <v>0</v>
      </c>
      <c r="P72" s="334">
        <f>O72*V72</f>
        <v>0</v>
      </c>
      <c r="Q72" s="44">
        <v>0</v>
      </c>
      <c r="R72" s="334">
        <f>Q72*V72</f>
        <v>0</v>
      </c>
      <c r="S72" s="44">
        <v>0</v>
      </c>
      <c r="T72" s="334">
        <f>S72*V72</f>
        <v>0</v>
      </c>
      <c r="U72" s="346">
        <f>E72+G72+I72+K72+M72+O72+Q72+S72</f>
        <v>0</v>
      </c>
      <c r="V72" s="82">
        <f>'Memorial Custo'!G89</f>
        <v>86.81</v>
      </c>
      <c r="W72" s="362">
        <f t="shared" si="10"/>
        <v>0</v>
      </c>
      <c r="X72" s="78" t="s">
        <v>279</v>
      </c>
      <c r="Y72" s="79" t="s">
        <v>280</v>
      </c>
    </row>
    <row r="73" spans="1:25" ht="48" customHeight="1" thickBot="1" thickTop="1">
      <c r="A73" s="501"/>
      <c r="B73" s="441" t="s">
        <v>260</v>
      </c>
      <c r="C73" s="442"/>
      <c r="D73" s="34" t="s">
        <v>68</v>
      </c>
      <c r="E73" s="36">
        <f>6*2220*0.05*2</f>
        <v>1332</v>
      </c>
      <c r="F73" s="202">
        <f>E73*V73</f>
        <v>76716.54000000001</v>
      </c>
      <c r="G73" s="36">
        <f>6*2130*0.05*2</f>
        <v>1278</v>
      </c>
      <c r="H73" s="203">
        <f>G73*V73</f>
        <v>73606.41</v>
      </c>
      <c r="I73" s="36">
        <f>6*1100*0.05*2</f>
        <v>660</v>
      </c>
      <c r="J73" s="335">
        <f>I73*V73</f>
        <v>38012.700000000004</v>
      </c>
      <c r="K73" s="36">
        <f>6*1080*0.05*2</f>
        <v>648</v>
      </c>
      <c r="L73" s="335">
        <f>K73*V73</f>
        <v>37321.560000000005</v>
      </c>
      <c r="M73" s="36">
        <f>6*1160*0.05*2</f>
        <v>696</v>
      </c>
      <c r="N73" s="335">
        <f>M73*V73</f>
        <v>40086.12</v>
      </c>
      <c r="O73" s="36">
        <f>6*430*0.05*2</f>
        <v>258</v>
      </c>
      <c r="P73" s="335">
        <f>O73*V73</f>
        <v>14859.510000000002</v>
      </c>
      <c r="Q73" s="36">
        <f>6*540*0.05*2</f>
        <v>324</v>
      </c>
      <c r="R73" s="335">
        <f>Q73*V73</f>
        <v>18660.780000000002</v>
      </c>
      <c r="S73" s="36">
        <f>6*1030*0.05*2</f>
        <v>618</v>
      </c>
      <c r="T73" s="335">
        <f>S73*V73</f>
        <v>35593.71000000001</v>
      </c>
      <c r="U73" s="347">
        <f>E73+G73+I73+K73+M73+O73+Q73+S73</f>
        <v>5814</v>
      </c>
      <c r="V73" s="83">
        <f>'Memorial Custo'!G98</f>
        <v>57.595000000000006</v>
      </c>
      <c r="W73" s="363">
        <f t="shared" si="10"/>
        <v>334857.33</v>
      </c>
      <c r="X73" s="74" t="s">
        <v>279</v>
      </c>
      <c r="Y73" s="75" t="s">
        <v>280</v>
      </c>
    </row>
    <row r="74" spans="1:25" ht="30" customHeight="1" hidden="1">
      <c r="A74" s="502"/>
      <c r="B74" s="441" t="s">
        <v>167</v>
      </c>
      <c r="C74" s="442"/>
      <c r="D74" s="102" t="s">
        <v>68</v>
      </c>
      <c r="E74" s="110">
        <v>0</v>
      </c>
      <c r="F74" s="202">
        <f>E74*V74</f>
        <v>0</v>
      </c>
      <c r="G74" s="37">
        <v>0</v>
      </c>
      <c r="H74" s="203">
        <f>G74*V74</f>
        <v>0</v>
      </c>
      <c r="I74" s="37">
        <v>0</v>
      </c>
      <c r="J74" s="335">
        <f>I74*V74</f>
        <v>0</v>
      </c>
      <c r="K74" s="37">
        <v>0</v>
      </c>
      <c r="L74" s="335">
        <f>K74*V74</f>
        <v>0</v>
      </c>
      <c r="M74" s="37">
        <v>0</v>
      </c>
      <c r="N74" s="335">
        <f>M74*V74</f>
        <v>0</v>
      </c>
      <c r="O74" s="37">
        <v>0</v>
      </c>
      <c r="P74" s="335">
        <f>O74*V74</f>
        <v>0</v>
      </c>
      <c r="Q74" s="37">
        <v>0</v>
      </c>
      <c r="R74" s="335">
        <f>Q74*V74</f>
        <v>0</v>
      </c>
      <c r="S74" s="37">
        <v>0</v>
      </c>
      <c r="T74" s="335">
        <f>S74*V74</f>
        <v>0</v>
      </c>
      <c r="U74" s="347">
        <f>E74+G74+I74+K74+M74+O74+Q74+S74</f>
        <v>0</v>
      </c>
      <c r="V74" s="83">
        <f>'Memorial Custo'!F54</f>
        <v>882.13</v>
      </c>
      <c r="W74" s="363">
        <f t="shared" si="10"/>
        <v>0</v>
      </c>
      <c r="X74" s="107" t="s">
        <v>279</v>
      </c>
      <c r="Y74" s="108" t="s">
        <v>280</v>
      </c>
    </row>
    <row r="75" spans="1:25" ht="19.5" customHeight="1" hidden="1">
      <c r="A75" s="502"/>
      <c r="B75" s="443"/>
      <c r="C75" s="444"/>
      <c r="D75" s="102"/>
      <c r="E75" s="110"/>
      <c r="F75" s="202">
        <f>E75*V75</f>
        <v>0</v>
      </c>
      <c r="G75" s="37"/>
      <c r="H75" s="203">
        <f>G75*V75</f>
        <v>0</v>
      </c>
      <c r="I75" s="37"/>
      <c r="J75" s="335">
        <f>I75*V75</f>
        <v>0</v>
      </c>
      <c r="K75" s="37"/>
      <c r="L75" s="335">
        <f>K75*V75</f>
        <v>0</v>
      </c>
      <c r="M75" s="37"/>
      <c r="N75" s="335">
        <f>M75*V75</f>
        <v>0</v>
      </c>
      <c r="O75" s="37"/>
      <c r="P75" s="335">
        <f>O75*V75</f>
        <v>0</v>
      </c>
      <c r="Q75" s="37"/>
      <c r="R75" s="335">
        <f>Q75*V75</f>
        <v>0</v>
      </c>
      <c r="S75" s="37"/>
      <c r="T75" s="335">
        <f>S75*V75</f>
        <v>0</v>
      </c>
      <c r="U75" s="347">
        <f>E75+G75+I75+K75+M75+O75+Q75+S75</f>
        <v>0</v>
      </c>
      <c r="V75" s="83"/>
      <c r="W75" s="363">
        <f t="shared" si="10"/>
        <v>0</v>
      </c>
      <c r="X75" s="107"/>
      <c r="Y75" s="108"/>
    </row>
    <row r="76" spans="1:25" ht="18.75" customHeight="1" hidden="1" thickBot="1">
      <c r="A76" s="503"/>
      <c r="B76" s="445"/>
      <c r="C76" s="446"/>
      <c r="D76" s="41"/>
      <c r="E76" s="45"/>
      <c r="F76" s="204">
        <f>E76*V76</f>
        <v>0</v>
      </c>
      <c r="G76" s="48"/>
      <c r="H76" s="205">
        <f>G76*V76</f>
        <v>0</v>
      </c>
      <c r="I76" s="48"/>
      <c r="J76" s="336">
        <f>I76*V76</f>
        <v>0</v>
      </c>
      <c r="K76" s="48"/>
      <c r="L76" s="336">
        <f>K76*V76</f>
        <v>0</v>
      </c>
      <c r="M76" s="48"/>
      <c r="N76" s="336">
        <f>M76*V76</f>
        <v>0</v>
      </c>
      <c r="O76" s="48"/>
      <c r="P76" s="336">
        <f>O76*V76</f>
        <v>0</v>
      </c>
      <c r="Q76" s="48"/>
      <c r="R76" s="336">
        <f>Q76*V76</f>
        <v>0</v>
      </c>
      <c r="S76" s="48"/>
      <c r="T76" s="336">
        <f>S76*V76</f>
        <v>0</v>
      </c>
      <c r="U76" s="348">
        <f>E76+G76+I76+K76+M76+O76+Q76+S76</f>
        <v>0</v>
      </c>
      <c r="V76" s="84"/>
      <c r="W76" s="364">
        <f t="shared" si="10"/>
        <v>0</v>
      </c>
      <c r="X76" s="76"/>
      <c r="Y76" s="77"/>
    </row>
    <row r="77" spans="1:26" ht="29.25" customHeight="1" thickBot="1" thickTop="1">
      <c r="A77" s="438" t="s">
        <v>128</v>
      </c>
      <c r="B77" s="438"/>
      <c r="C77" s="438"/>
      <c r="D77" s="438"/>
      <c r="E77" s="157"/>
      <c r="F77" s="201">
        <f>SUM(F72:F76)</f>
        <v>76716.54000000001</v>
      </c>
      <c r="G77" s="157"/>
      <c r="H77" s="201">
        <f>SUM(H72:H76)</f>
        <v>73606.41</v>
      </c>
      <c r="I77" s="157"/>
      <c r="J77" s="337">
        <f>SUM(J72:J76)</f>
        <v>38012.700000000004</v>
      </c>
      <c r="K77" s="157"/>
      <c r="L77" s="337">
        <f>SUM(L72:L76)</f>
        <v>37321.560000000005</v>
      </c>
      <c r="M77" s="157"/>
      <c r="N77" s="337">
        <f>SUM(N72:N76)</f>
        <v>40086.12</v>
      </c>
      <c r="O77" s="157"/>
      <c r="P77" s="337">
        <f>SUM(P72:P76)</f>
        <v>14859.510000000002</v>
      </c>
      <c r="Q77" s="157"/>
      <c r="R77" s="337">
        <f>SUM(R72:R76)</f>
        <v>18660.780000000002</v>
      </c>
      <c r="S77" s="157"/>
      <c r="T77" s="337">
        <f>SUM(T72:T76)</f>
        <v>35593.71000000001</v>
      </c>
      <c r="U77" s="349"/>
      <c r="V77" s="158"/>
      <c r="W77" s="365">
        <f>SUM(W72:W76)</f>
        <v>334857.33</v>
      </c>
      <c r="X77" s="69"/>
      <c r="Y77" s="6"/>
      <c r="Z77" s="51"/>
    </row>
    <row r="78" spans="1:25" ht="23.25" customHeight="1" thickBot="1" thickTop="1">
      <c r="A78" s="462" t="s">
        <v>121</v>
      </c>
      <c r="B78" s="447" t="s">
        <v>237</v>
      </c>
      <c r="C78" s="448"/>
      <c r="D78" s="39" t="s">
        <v>120</v>
      </c>
      <c r="E78" s="43">
        <f>E10*0.1</f>
        <v>1620.0000000000002</v>
      </c>
      <c r="F78" s="190">
        <f>E78*V78</f>
        <v>4260.6</v>
      </c>
      <c r="G78" s="43">
        <f>G10*0.1</f>
        <v>1530</v>
      </c>
      <c r="H78" s="166">
        <f>G78*V78</f>
        <v>4023.8999999999996</v>
      </c>
      <c r="I78" s="43">
        <f>I10*0.1</f>
        <v>990</v>
      </c>
      <c r="J78" s="323">
        <f>I78*V78</f>
        <v>2603.7</v>
      </c>
      <c r="K78" s="43">
        <f>K10*0.1</f>
        <v>600</v>
      </c>
      <c r="L78" s="323">
        <f>K78*V78</f>
        <v>1578</v>
      </c>
      <c r="M78" s="43">
        <f>M10*0.1</f>
        <v>591.24</v>
      </c>
      <c r="N78" s="323">
        <f>M78*V78</f>
        <v>1554.9612</v>
      </c>
      <c r="O78" s="43">
        <f>O10*0.1</f>
        <v>335.40000000000003</v>
      </c>
      <c r="P78" s="323">
        <f>O78*V78</f>
        <v>882.1020000000001</v>
      </c>
      <c r="Q78" s="43">
        <f>Q10*0.1</f>
        <v>441</v>
      </c>
      <c r="R78" s="323">
        <f>Q78*V78</f>
        <v>1159.83</v>
      </c>
      <c r="S78" s="43">
        <f>S10*0.1</f>
        <v>720</v>
      </c>
      <c r="T78" s="323">
        <f>S78*V78</f>
        <v>1893.6</v>
      </c>
      <c r="U78" s="354">
        <f>E78+G78+I78+K78+M78+O78+Q78+S78</f>
        <v>6827.639999999999</v>
      </c>
      <c r="V78" s="49">
        <f>'Memorial Custo'!E17</f>
        <v>2.63</v>
      </c>
      <c r="W78" s="369">
        <f t="shared" si="10"/>
        <v>17956.693199999998</v>
      </c>
      <c r="X78" s="78" t="s">
        <v>279</v>
      </c>
      <c r="Y78" s="79" t="s">
        <v>280</v>
      </c>
    </row>
    <row r="79" spans="1:25" ht="20.25" customHeight="1" hidden="1" thickBot="1" thickTop="1">
      <c r="A79" s="463"/>
      <c r="B79" s="449" t="s">
        <v>236</v>
      </c>
      <c r="C79" s="450"/>
      <c r="D79" s="34" t="s">
        <v>118</v>
      </c>
      <c r="E79" s="36">
        <v>0</v>
      </c>
      <c r="F79" s="191">
        <f>E79*V79</f>
        <v>0</v>
      </c>
      <c r="G79" s="37">
        <v>0</v>
      </c>
      <c r="H79" s="182">
        <f>G79*V79</f>
        <v>0</v>
      </c>
      <c r="I79" s="37">
        <v>0</v>
      </c>
      <c r="J79" s="324">
        <f>I79*V79</f>
        <v>0</v>
      </c>
      <c r="K79" s="37">
        <v>0</v>
      </c>
      <c r="L79" s="324">
        <f>K79*V79</f>
        <v>0</v>
      </c>
      <c r="M79" s="37">
        <v>0</v>
      </c>
      <c r="N79" s="324">
        <f>M79*V79</f>
        <v>0</v>
      </c>
      <c r="O79" s="37">
        <v>0</v>
      </c>
      <c r="P79" s="324">
        <f>O79*V79</f>
        <v>0</v>
      </c>
      <c r="Q79" s="37">
        <v>0</v>
      </c>
      <c r="R79" s="324">
        <f>Q79*V79</f>
        <v>0</v>
      </c>
      <c r="S79" s="37">
        <v>0</v>
      </c>
      <c r="T79" s="324">
        <f>S79*V79</f>
        <v>0</v>
      </c>
      <c r="U79" s="354">
        <f>E79+G79+I79+K79+M79+O79+Q79+S79</f>
        <v>0</v>
      </c>
      <c r="V79" s="33">
        <v>7.02</v>
      </c>
      <c r="W79" s="370">
        <f t="shared" si="10"/>
        <v>0</v>
      </c>
      <c r="X79" s="71" t="s">
        <v>60</v>
      </c>
      <c r="Y79" s="72" t="s">
        <v>311</v>
      </c>
    </row>
    <row r="80" spans="1:25" ht="18" customHeight="1" hidden="1" thickBot="1" thickTop="1">
      <c r="A80" s="471"/>
      <c r="B80" s="451" t="s">
        <v>341</v>
      </c>
      <c r="C80" s="452"/>
      <c r="D80" s="34" t="s">
        <v>118</v>
      </c>
      <c r="E80" s="110"/>
      <c r="F80" s="191">
        <f>E80*V80</f>
        <v>0</v>
      </c>
      <c r="G80" s="37"/>
      <c r="H80" s="182">
        <f>G80*V80</f>
        <v>0</v>
      </c>
      <c r="I80" s="37"/>
      <c r="J80" s="324">
        <f>I80*V80</f>
        <v>0</v>
      </c>
      <c r="K80" s="37"/>
      <c r="L80" s="324">
        <f>K80*V80</f>
        <v>0</v>
      </c>
      <c r="M80" s="37"/>
      <c r="N80" s="324">
        <f>M80*V80</f>
        <v>0</v>
      </c>
      <c r="O80" s="37"/>
      <c r="P80" s="324">
        <f>O80*V80</f>
        <v>0</v>
      </c>
      <c r="Q80" s="37"/>
      <c r="R80" s="324">
        <f>Q80*V80</f>
        <v>0</v>
      </c>
      <c r="S80" s="37"/>
      <c r="T80" s="324">
        <f>S80*V80</f>
        <v>0</v>
      </c>
      <c r="U80" s="354">
        <f>E80+G80+I80+K80+M80+O80+Q80+S80</f>
        <v>0</v>
      </c>
      <c r="V80" s="133"/>
      <c r="W80" s="370">
        <f t="shared" si="10"/>
        <v>0</v>
      </c>
      <c r="X80" s="134"/>
      <c r="Y80" s="135"/>
    </row>
    <row r="81" spans="1:25" ht="18.75" customHeight="1" hidden="1" thickBot="1" thickTop="1">
      <c r="A81" s="472"/>
      <c r="B81" s="514" t="s">
        <v>340</v>
      </c>
      <c r="C81" s="515"/>
      <c r="D81" s="41" t="s">
        <v>118</v>
      </c>
      <c r="E81" s="45">
        <v>0</v>
      </c>
      <c r="F81" s="206">
        <f>E81*V81</f>
        <v>0</v>
      </c>
      <c r="G81" s="46">
        <v>0</v>
      </c>
      <c r="H81" s="184">
        <f>G81*V81</f>
        <v>0</v>
      </c>
      <c r="I81" s="46">
        <v>0</v>
      </c>
      <c r="J81" s="326">
        <f>I81*V81</f>
        <v>0</v>
      </c>
      <c r="K81" s="46">
        <v>0</v>
      </c>
      <c r="L81" s="326">
        <f>K81*V81</f>
        <v>0</v>
      </c>
      <c r="M81" s="46">
        <v>0</v>
      </c>
      <c r="N81" s="326">
        <f>M81*V81</f>
        <v>0</v>
      </c>
      <c r="O81" s="46">
        <v>0</v>
      </c>
      <c r="P81" s="326">
        <f>O81*V81</f>
        <v>0</v>
      </c>
      <c r="Q81" s="46">
        <v>0</v>
      </c>
      <c r="R81" s="326"/>
      <c r="S81" s="46">
        <v>0</v>
      </c>
      <c r="T81" s="326">
        <f>S81*V81</f>
        <v>0</v>
      </c>
      <c r="U81" s="354">
        <f>E81+G81+I81+K81+M81+O81+Q81+S81</f>
        <v>0</v>
      </c>
      <c r="V81" s="125"/>
      <c r="W81" s="371">
        <f t="shared" si="10"/>
        <v>0</v>
      </c>
      <c r="X81" s="121"/>
      <c r="Y81" s="122"/>
    </row>
    <row r="82" spans="1:26" ht="20.25" customHeight="1" thickBot="1" thickTop="1">
      <c r="A82" s="459" t="s">
        <v>127</v>
      </c>
      <c r="B82" s="460"/>
      <c r="C82" s="460"/>
      <c r="D82" s="461"/>
      <c r="E82" s="177"/>
      <c r="F82" s="207">
        <f>SUM(F78:F81)</f>
        <v>4260.6</v>
      </c>
      <c r="G82" s="177"/>
      <c r="H82" s="208">
        <f>SUM(H78:H81)</f>
        <v>4023.8999999999996</v>
      </c>
      <c r="I82" s="177"/>
      <c r="J82" s="338">
        <f>SUM(J78:J81)</f>
        <v>2603.7</v>
      </c>
      <c r="K82" s="177"/>
      <c r="L82" s="338">
        <f>SUM(L78:L81)</f>
        <v>1578</v>
      </c>
      <c r="M82" s="177"/>
      <c r="N82" s="338">
        <f>SUM(N78:N81)</f>
        <v>1554.9612</v>
      </c>
      <c r="O82" s="177"/>
      <c r="P82" s="338">
        <f>SUM(P78:P81)</f>
        <v>882.1020000000001</v>
      </c>
      <c r="Q82" s="177"/>
      <c r="R82" s="338">
        <f>SUM(R78:R81)</f>
        <v>1159.83</v>
      </c>
      <c r="S82" s="177"/>
      <c r="T82" s="338">
        <f>SUM(T78:T81)</f>
        <v>1893.6</v>
      </c>
      <c r="U82" s="355"/>
      <c r="V82" s="178"/>
      <c r="W82" s="372">
        <f>SUM(W78:W81)</f>
        <v>17956.693199999998</v>
      </c>
      <c r="X82" s="69"/>
      <c r="Y82" s="6"/>
      <c r="Z82" s="51"/>
    </row>
    <row r="83" spans="1:25" ht="21" customHeight="1" hidden="1" thickTop="1">
      <c r="A83" s="462" t="s">
        <v>226</v>
      </c>
      <c r="B83" s="447" t="s">
        <v>138</v>
      </c>
      <c r="C83" s="448"/>
      <c r="D83" s="39" t="s">
        <v>68</v>
      </c>
      <c r="E83" s="40">
        <v>0</v>
      </c>
      <c r="F83" s="194">
        <f>E83*V83</f>
        <v>0</v>
      </c>
      <c r="G83" s="40">
        <v>0</v>
      </c>
      <c r="H83" s="187">
        <f>G83*V83</f>
        <v>0</v>
      </c>
      <c r="I83" s="40">
        <v>0</v>
      </c>
      <c r="J83" s="328">
        <f>I83*V83</f>
        <v>0</v>
      </c>
      <c r="K83" s="40">
        <v>0</v>
      </c>
      <c r="L83" s="328">
        <f>K83*V83</f>
        <v>0</v>
      </c>
      <c r="M83" s="40">
        <v>0</v>
      </c>
      <c r="N83" s="328">
        <f>M83*V83</f>
        <v>0</v>
      </c>
      <c r="O83" s="40">
        <v>0</v>
      </c>
      <c r="P83" s="328">
        <f>O83*V83</f>
        <v>0</v>
      </c>
      <c r="Q83" s="40">
        <v>0</v>
      </c>
      <c r="R83" s="328">
        <f>Q83*V83</f>
        <v>0</v>
      </c>
      <c r="S83" s="40">
        <v>0</v>
      </c>
      <c r="T83" s="328">
        <f>S83*V83</f>
        <v>0</v>
      </c>
      <c r="U83" s="347">
        <f>E83+G83+I83+K83+M83+O83+Q83+S83</f>
        <v>0</v>
      </c>
      <c r="V83" s="49">
        <v>2.38</v>
      </c>
      <c r="W83" s="369">
        <f>U83*V83</f>
        <v>0</v>
      </c>
      <c r="X83" s="71" t="s">
        <v>60</v>
      </c>
      <c r="Y83" s="70" t="s">
        <v>270</v>
      </c>
    </row>
    <row r="84" spans="1:25" ht="31.5" customHeight="1" hidden="1">
      <c r="A84" s="463"/>
      <c r="B84" s="449" t="s">
        <v>227</v>
      </c>
      <c r="C84" s="450"/>
      <c r="D84" s="34" t="s">
        <v>67</v>
      </c>
      <c r="E84" s="34">
        <v>0</v>
      </c>
      <c r="F84" s="192">
        <f>E84*V84</f>
        <v>0</v>
      </c>
      <c r="G84" s="34">
        <v>0</v>
      </c>
      <c r="H84" s="168">
        <f>G84*V84</f>
        <v>0</v>
      </c>
      <c r="I84" s="34">
        <v>0</v>
      </c>
      <c r="J84" s="329">
        <f>I84*V84</f>
        <v>0</v>
      </c>
      <c r="K84" s="34">
        <v>0</v>
      </c>
      <c r="L84" s="329">
        <f>K84*V84</f>
        <v>0</v>
      </c>
      <c r="M84" s="34">
        <v>0</v>
      </c>
      <c r="N84" s="329">
        <f>M84*V84</f>
        <v>0</v>
      </c>
      <c r="O84" s="34">
        <v>0</v>
      </c>
      <c r="P84" s="329">
        <f>O84*V84</f>
        <v>0</v>
      </c>
      <c r="Q84" s="34">
        <v>0</v>
      </c>
      <c r="R84" s="329">
        <f>Q84*V84</f>
        <v>0</v>
      </c>
      <c r="S84" s="34">
        <v>0</v>
      </c>
      <c r="T84" s="329">
        <f>S84*V84</f>
        <v>0</v>
      </c>
      <c r="U84" s="347">
        <f>E84+G84+I84+K84+M84+O84+Q84+S84</f>
        <v>0</v>
      </c>
      <c r="V84" s="50">
        <f>'Memorial Custo'!E34</f>
        <v>4.89</v>
      </c>
      <c r="W84" s="370">
        <f>U84*V84</f>
        <v>0</v>
      </c>
      <c r="X84" s="74" t="s">
        <v>279</v>
      </c>
      <c r="Y84" s="75" t="s">
        <v>280</v>
      </c>
    </row>
    <row r="85" spans="1:25" ht="12.75" hidden="1">
      <c r="A85" s="464"/>
      <c r="B85" s="451" t="s">
        <v>330</v>
      </c>
      <c r="C85" s="452"/>
      <c r="D85" s="34" t="s">
        <v>69</v>
      </c>
      <c r="E85" s="34">
        <v>0</v>
      </c>
      <c r="F85" s="192">
        <f>E85*V85</f>
        <v>0</v>
      </c>
      <c r="G85" s="38">
        <v>0</v>
      </c>
      <c r="H85" s="168">
        <f>G85*V85</f>
        <v>0</v>
      </c>
      <c r="I85" s="38">
        <v>0</v>
      </c>
      <c r="J85" s="329">
        <f>I85*V85</f>
        <v>0</v>
      </c>
      <c r="K85" s="38">
        <v>0</v>
      </c>
      <c r="L85" s="329">
        <f>K85*V85</f>
        <v>0</v>
      </c>
      <c r="M85" s="38">
        <v>0</v>
      </c>
      <c r="N85" s="329">
        <f>M85*V85</f>
        <v>0</v>
      </c>
      <c r="O85" s="38">
        <v>0</v>
      </c>
      <c r="P85" s="329">
        <f>O85*V85</f>
        <v>0</v>
      </c>
      <c r="Q85" s="38">
        <v>0</v>
      </c>
      <c r="R85" s="329">
        <f>Q85*V85</f>
        <v>0</v>
      </c>
      <c r="S85" s="38">
        <v>0</v>
      </c>
      <c r="T85" s="329">
        <f>S85*V85</f>
        <v>0</v>
      </c>
      <c r="U85" s="347">
        <f>E85+G85+I85+K85+M85+O85+Q85+S85</f>
        <v>0</v>
      </c>
      <c r="V85" s="136"/>
      <c r="W85" s="370">
        <f>U85*V85</f>
        <v>0</v>
      </c>
      <c r="X85" s="138"/>
      <c r="Y85" s="132"/>
    </row>
    <row r="86" spans="1:25" ht="13.5" hidden="1" thickBot="1">
      <c r="A86" s="465"/>
      <c r="B86" s="445"/>
      <c r="C86" s="446"/>
      <c r="D86" s="68"/>
      <c r="E86" s="47"/>
      <c r="F86" s="193">
        <f>E86*V86</f>
        <v>0</v>
      </c>
      <c r="G86" s="47"/>
      <c r="H86" s="188">
        <f>G86*V86</f>
        <v>0</v>
      </c>
      <c r="I86" s="47"/>
      <c r="J86" s="330">
        <f>I86*V86</f>
        <v>0</v>
      </c>
      <c r="K86" s="47"/>
      <c r="L86" s="345"/>
      <c r="M86" s="47"/>
      <c r="N86" s="330">
        <f>M86*V86</f>
        <v>0</v>
      </c>
      <c r="O86" s="47"/>
      <c r="P86" s="330">
        <f>O86*V86</f>
        <v>0</v>
      </c>
      <c r="Q86" s="47"/>
      <c r="R86" s="330">
        <f>Q86*V86</f>
        <v>0</v>
      </c>
      <c r="S86" s="47"/>
      <c r="T86" s="330">
        <f>S86*V86</f>
        <v>0</v>
      </c>
      <c r="U86" s="347">
        <f>E86+G86+I86+K86+M86+O86+Q86+S86</f>
        <v>0</v>
      </c>
      <c r="V86" s="137"/>
      <c r="W86" s="373"/>
      <c r="X86" s="121"/>
      <c r="Y86" s="122"/>
    </row>
    <row r="87" spans="1:26" ht="14.25" thickBot="1" thickTop="1">
      <c r="A87" s="459" t="s">
        <v>228</v>
      </c>
      <c r="B87" s="460"/>
      <c r="C87" s="460"/>
      <c r="D87" s="461"/>
      <c r="E87" s="175"/>
      <c r="F87" s="209">
        <f>SUM(F83:F86)</f>
        <v>0</v>
      </c>
      <c r="G87" s="175"/>
      <c r="H87" s="209">
        <f>SUM(H83:H86)</f>
        <v>0</v>
      </c>
      <c r="I87" s="175"/>
      <c r="J87" s="339">
        <f>SUM(J83:J86)</f>
        <v>0</v>
      </c>
      <c r="K87" s="175"/>
      <c r="L87" s="339">
        <f>SUM(L83:L86)</f>
        <v>0</v>
      </c>
      <c r="M87" s="175"/>
      <c r="N87" s="339">
        <f>SUM(N83:N86)</f>
        <v>0</v>
      </c>
      <c r="O87" s="175"/>
      <c r="P87" s="339">
        <f>SUM(P83:P86)</f>
        <v>0</v>
      </c>
      <c r="Q87" s="175"/>
      <c r="R87" s="339">
        <f>SUM(R83:R86)</f>
        <v>0</v>
      </c>
      <c r="S87" s="175"/>
      <c r="T87" s="339">
        <f>SUM(T83:T86)</f>
        <v>0</v>
      </c>
      <c r="U87" s="356"/>
      <c r="V87" s="176"/>
      <c r="W87" s="374">
        <f>SUM(W83:W86)</f>
        <v>0</v>
      </c>
      <c r="X87" s="69"/>
      <c r="Y87" s="6"/>
      <c r="Z87" s="51"/>
    </row>
    <row r="88" spans="1:25" ht="14.25" thickBot="1" thickTop="1">
      <c r="A88" s="504" t="s">
        <v>328</v>
      </c>
      <c r="B88" s="439" t="s">
        <v>3</v>
      </c>
      <c r="C88" s="440"/>
      <c r="D88" s="44" t="s">
        <v>250</v>
      </c>
      <c r="E88" s="44">
        <v>1</v>
      </c>
      <c r="F88" s="43">
        <f>E88*V88</f>
        <v>0</v>
      </c>
      <c r="G88" s="291">
        <v>2</v>
      </c>
      <c r="H88" s="288">
        <f>G88*V88</f>
        <v>0</v>
      </c>
      <c r="I88" s="289">
        <v>1</v>
      </c>
      <c r="J88" s="340">
        <f>I88*V88</f>
        <v>0</v>
      </c>
      <c r="K88" s="291">
        <v>2</v>
      </c>
      <c r="L88" s="340">
        <f>K88*V88</f>
        <v>0</v>
      </c>
      <c r="M88" s="287"/>
      <c r="N88" s="340">
        <f>M88*V88</f>
        <v>0</v>
      </c>
      <c r="O88" s="287"/>
      <c r="P88" s="340">
        <f>O88*V88</f>
        <v>0</v>
      </c>
      <c r="Q88" s="290">
        <v>0</v>
      </c>
      <c r="R88" s="340">
        <f>Q88*V88</f>
        <v>0</v>
      </c>
      <c r="S88" s="290">
        <v>0</v>
      </c>
      <c r="T88" s="340">
        <f>S88*V88</f>
        <v>0</v>
      </c>
      <c r="U88" s="347">
        <f>E88+G88+I88+K88+M88+O88+Q88+S88</f>
        <v>6</v>
      </c>
      <c r="V88" s="139"/>
      <c r="W88" s="369">
        <f>U88*V88</f>
        <v>0</v>
      </c>
      <c r="X88" s="537" t="s">
        <v>53</v>
      </c>
      <c r="Y88" s="538"/>
    </row>
    <row r="89" spans="1:25" ht="14.25" thickBot="1" thickTop="1">
      <c r="A89" s="505"/>
      <c r="B89" s="514" t="s">
        <v>2</v>
      </c>
      <c r="C89" s="515"/>
      <c r="D89" s="102" t="s">
        <v>250</v>
      </c>
      <c r="E89" s="102">
        <v>8</v>
      </c>
      <c r="F89" s="194">
        <f>E89*V89</f>
        <v>1731.44</v>
      </c>
      <c r="G89" s="100">
        <v>0</v>
      </c>
      <c r="H89" s="210">
        <f>G89*V89</f>
        <v>0</v>
      </c>
      <c r="I89" s="100"/>
      <c r="J89" s="340">
        <f>I89*V89</f>
        <v>0</v>
      </c>
      <c r="K89" s="100">
        <v>0</v>
      </c>
      <c r="L89" s="340">
        <f>K89*V89</f>
        <v>0</v>
      </c>
      <c r="M89" s="100"/>
      <c r="N89" s="340">
        <f>M89*V89</f>
        <v>0</v>
      </c>
      <c r="O89" s="100"/>
      <c r="P89" s="340">
        <f>O89*V89</f>
        <v>0</v>
      </c>
      <c r="Q89" s="100">
        <v>0</v>
      </c>
      <c r="R89" s="340">
        <f>Q89*V89</f>
        <v>0</v>
      </c>
      <c r="S89" s="100">
        <v>8</v>
      </c>
      <c r="T89" s="340">
        <f>S89*V89</f>
        <v>1731.44</v>
      </c>
      <c r="U89" s="347">
        <f>E89+G89+I89+K89+M89+O89+Q89+S89</f>
        <v>16</v>
      </c>
      <c r="V89" s="140">
        <v>216.43</v>
      </c>
      <c r="W89" s="371">
        <f>U89*V89</f>
        <v>3462.88</v>
      </c>
      <c r="X89" s="121" t="s">
        <v>48</v>
      </c>
      <c r="Y89" s="278" t="s">
        <v>57</v>
      </c>
    </row>
    <row r="90" spans="1:26" ht="14.25" thickBot="1" thickTop="1">
      <c r="A90" s="495" t="s">
        <v>329</v>
      </c>
      <c r="B90" s="496"/>
      <c r="C90" s="496"/>
      <c r="D90" s="496"/>
      <c r="E90" s="226"/>
      <c r="F90" s="227">
        <f>SUM(F88:F89)</f>
        <v>1731.44</v>
      </c>
      <c r="G90" s="228"/>
      <c r="H90" s="227">
        <f>SUM(H88:H89)</f>
        <v>0</v>
      </c>
      <c r="I90" s="228"/>
      <c r="J90" s="341">
        <f>SUM(J88:J89)</f>
        <v>0</v>
      </c>
      <c r="K90" s="228"/>
      <c r="L90" s="341">
        <f>SUM(L88:L89)</f>
        <v>0</v>
      </c>
      <c r="M90" s="228"/>
      <c r="N90" s="341">
        <f>SUM(N88:N89)</f>
        <v>0</v>
      </c>
      <c r="O90" s="228"/>
      <c r="P90" s="341">
        <f>SUM(P88:P89)</f>
        <v>0</v>
      </c>
      <c r="Q90" s="228"/>
      <c r="R90" s="341">
        <f>SUM(R88:R89)</f>
        <v>0</v>
      </c>
      <c r="S90" s="228"/>
      <c r="T90" s="341">
        <f>SUM(T88:T89)</f>
        <v>1731.44</v>
      </c>
      <c r="U90" s="357"/>
      <c r="V90" s="229"/>
      <c r="W90" s="375">
        <f>SUM(W88:W89)</f>
        <v>3462.88</v>
      </c>
      <c r="X90" s="69"/>
      <c r="Y90" s="6"/>
      <c r="Z90" s="51"/>
    </row>
    <row r="91" spans="1:26" ht="23.25" customHeight="1" thickBot="1" thickTop="1">
      <c r="A91" s="455" t="s">
        <v>365</v>
      </c>
      <c r="B91" s="453" t="s">
        <v>367</v>
      </c>
      <c r="C91" s="454"/>
      <c r="D91" s="39" t="s">
        <v>250</v>
      </c>
      <c r="E91" s="292">
        <v>600</v>
      </c>
      <c r="F91" s="194">
        <f>E91*V91</f>
        <v>3030</v>
      </c>
      <c r="G91" s="238"/>
      <c r="H91" s="210">
        <f>G91*V91</f>
        <v>0</v>
      </c>
      <c r="I91" s="238">
        <v>20</v>
      </c>
      <c r="J91" s="340">
        <f>I91*V91</f>
        <v>101</v>
      </c>
      <c r="K91" s="238"/>
      <c r="L91" s="340">
        <f>K91*V91</f>
        <v>0</v>
      </c>
      <c r="M91" s="238"/>
      <c r="N91" s="340">
        <f>M91*V91</f>
        <v>0</v>
      </c>
      <c r="O91" s="238">
        <v>20</v>
      </c>
      <c r="P91" s="340">
        <f>O91*V91</f>
        <v>101</v>
      </c>
      <c r="Q91" s="238"/>
      <c r="R91" s="340">
        <f>Q91*V91</f>
        <v>0</v>
      </c>
      <c r="S91" s="238"/>
      <c r="T91" s="340">
        <f>S91*V91</f>
        <v>0</v>
      </c>
      <c r="U91" s="358">
        <f>E91+G91+I91+K91+M91+O91+Q91+S91</f>
        <v>640</v>
      </c>
      <c r="V91" s="239">
        <v>5.05</v>
      </c>
      <c r="W91" s="370">
        <f>U91*V91</f>
        <v>3232</v>
      </c>
      <c r="X91" s="230" t="s">
        <v>48</v>
      </c>
      <c r="Y91" s="279" t="s">
        <v>58</v>
      </c>
      <c r="Z91" s="51"/>
    </row>
    <row r="92" spans="1:26" ht="25.5" customHeight="1" thickBot="1" thickTop="1">
      <c r="A92" s="456"/>
      <c r="B92" s="231" t="s">
        <v>366</v>
      </c>
      <c r="C92" s="232"/>
      <c r="D92" s="41" t="s">
        <v>250</v>
      </c>
      <c r="E92" s="240">
        <v>0</v>
      </c>
      <c r="F92" s="194">
        <f>E92*V92</f>
        <v>0</v>
      </c>
      <c r="G92" s="240"/>
      <c r="H92" s="233">
        <f>G92*V92</f>
        <v>0</v>
      </c>
      <c r="I92" s="240"/>
      <c r="J92" s="342">
        <f>I92*V92</f>
        <v>0</v>
      </c>
      <c r="K92" s="240"/>
      <c r="L92" s="342">
        <f>K92*V92</f>
        <v>0</v>
      </c>
      <c r="M92" s="240"/>
      <c r="N92" s="342">
        <f>M92*V92</f>
        <v>0</v>
      </c>
      <c r="O92" s="240"/>
      <c r="P92" s="342">
        <f>O92*V92</f>
        <v>0</v>
      </c>
      <c r="Q92" s="240"/>
      <c r="R92" s="342">
        <f>Q92*V92</f>
        <v>0</v>
      </c>
      <c r="S92" s="240">
        <v>600</v>
      </c>
      <c r="T92" s="340">
        <f>S92*V92</f>
        <v>3030</v>
      </c>
      <c r="U92" s="359">
        <f>E92+G92+I92+K92+M92+O92+Q92+S92</f>
        <v>600</v>
      </c>
      <c r="V92" s="241">
        <v>5.05</v>
      </c>
      <c r="W92" s="371">
        <f>U92*V92</f>
        <v>3030</v>
      </c>
      <c r="X92" s="234" t="s">
        <v>48</v>
      </c>
      <c r="Y92" s="278" t="s">
        <v>56</v>
      </c>
      <c r="Z92" s="51"/>
    </row>
    <row r="93" spans="1:26" ht="15" customHeight="1" thickBot="1" thickTop="1">
      <c r="A93" s="457" t="s">
        <v>368</v>
      </c>
      <c r="B93" s="458"/>
      <c r="C93" s="458"/>
      <c r="D93" s="458"/>
      <c r="E93" s="235"/>
      <c r="F93" s="242">
        <f>SUM(F91:F92)</f>
        <v>3030</v>
      </c>
      <c r="G93" s="224"/>
      <c r="H93" s="242">
        <f>SUM(H91:H92)</f>
        <v>0</v>
      </c>
      <c r="I93" s="224"/>
      <c r="J93" s="343">
        <f>SUM(J91:J92)</f>
        <v>101</v>
      </c>
      <c r="K93" s="224"/>
      <c r="L93" s="343">
        <f>SUM(L91:L92)</f>
        <v>0</v>
      </c>
      <c r="M93" s="224"/>
      <c r="N93" s="343">
        <f>SUM(N91:N92)</f>
        <v>0</v>
      </c>
      <c r="O93" s="224"/>
      <c r="P93" s="343">
        <f>SUM(P91:P92)</f>
        <v>101</v>
      </c>
      <c r="Q93" s="224"/>
      <c r="R93" s="343">
        <f>SUM(R91:R92)</f>
        <v>0</v>
      </c>
      <c r="S93" s="224"/>
      <c r="T93" s="343">
        <f>SUM(T91:T92)</f>
        <v>3030</v>
      </c>
      <c r="U93" s="360"/>
      <c r="V93" s="225"/>
      <c r="W93" s="376">
        <f>SUM(W91:W92)</f>
        <v>6262</v>
      </c>
      <c r="X93" s="236"/>
      <c r="Y93" s="237"/>
      <c r="Z93" s="51"/>
    </row>
    <row r="94" spans="1:26" ht="30.75" customHeight="1" thickBot="1" thickTop="1">
      <c r="A94" s="539" t="s">
        <v>234</v>
      </c>
      <c r="B94" s="540"/>
      <c r="C94" s="540"/>
      <c r="D94" s="540"/>
      <c r="E94" s="541"/>
      <c r="F94" s="243">
        <f>F28+F71+F77+F82+F87+F90+F93</f>
        <v>155186.13000000003</v>
      </c>
      <c r="G94" s="213">
        <f>G28+G71+G77+G82+G87+G90+G93</f>
        <v>0</v>
      </c>
      <c r="H94" s="243">
        <f>H28+H71+H77+H82+H87+H90+H93</f>
        <v>143657.6</v>
      </c>
      <c r="I94" s="174"/>
      <c r="J94" s="344">
        <f>J28+J71+J77+J82+J87+J90+J93</f>
        <v>73675.68999999999</v>
      </c>
      <c r="K94" s="174"/>
      <c r="L94" s="344">
        <f>L28+L71+L77+L82+L87+L90+L93</f>
        <v>64891.16</v>
      </c>
      <c r="M94" s="174"/>
      <c r="N94" s="344">
        <f>N28+N71+N77+N82+N87+N90+N93</f>
        <v>86636.18519999999</v>
      </c>
      <c r="O94" s="174"/>
      <c r="P94" s="344">
        <f>P28+P71+P77+P82+P87+P90+P93</f>
        <v>26924.032</v>
      </c>
      <c r="Q94" s="174"/>
      <c r="R94" s="344">
        <f>R28+R71+R77+R82+R87+R90+R93</f>
        <v>44228.69</v>
      </c>
      <c r="S94" s="174"/>
      <c r="T94" s="344">
        <f>T28+T71+T77+T82+T87+T90+T93</f>
        <v>66934.37</v>
      </c>
      <c r="U94" s="361"/>
      <c r="V94" s="174"/>
      <c r="W94" s="377">
        <f>W28+W71+W77+W82+W87+W90+W93</f>
        <v>662133.8572</v>
      </c>
      <c r="X94" s="69"/>
      <c r="Y94" s="6"/>
      <c r="Z94" s="51"/>
    </row>
    <row r="95" ht="13.5" thickTop="1">
      <c r="W95" s="51"/>
    </row>
    <row r="97" spans="1:3" ht="13.5" thickBot="1">
      <c r="A97" s="221" t="s">
        <v>364</v>
      </c>
      <c r="B97" s="222"/>
      <c r="C97" s="222"/>
    </row>
    <row r="98" spans="1:3" ht="13.5" thickTop="1">
      <c r="A98" s="218" t="s">
        <v>363</v>
      </c>
      <c r="B98" s="219" t="s">
        <v>362</v>
      </c>
      <c r="C98" s="220" t="s">
        <v>63</v>
      </c>
    </row>
    <row r="99" spans="1:3" ht="12.75">
      <c r="A99" s="274" t="s">
        <v>28</v>
      </c>
      <c r="B99" s="214">
        <v>2.22</v>
      </c>
      <c r="C99" s="215">
        <f>F94</f>
        <v>155186.13000000003</v>
      </c>
    </row>
    <row r="100" spans="1:12" ht="15">
      <c r="A100" s="275" t="s">
        <v>29</v>
      </c>
      <c r="B100" s="214">
        <v>2.13</v>
      </c>
      <c r="C100" s="215">
        <f>H94</f>
        <v>143657.6</v>
      </c>
      <c r="E100" s="284"/>
      <c r="F100" s="285"/>
      <c r="G100" s="285"/>
      <c r="H100" s="285"/>
      <c r="I100" s="285"/>
      <c r="J100" s="285"/>
      <c r="K100" s="285"/>
      <c r="L100" s="286"/>
    </row>
    <row r="101" spans="1:3" ht="12.75">
      <c r="A101" s="275" t="s">
        <v>30</v>
      </c>
      <c r="B101" s="214">
        <f>I4</f>
        <v>1.1</v>
      </c>
      <c r="C101" s="215">
        <f>J94</f>
        <v>73675.68999999999</v>
      </c>
    </row>
    <row r="102" spans="1:3" ht="12.75">
      <c r="A102" s="275" t="s">
        <v>31</v>
      </c>
      <c r="B102" s="214">
        <f>K4</f>
        <v>1.08</v>
      </c>
      <c r="C102" s="215">
        <f>L94</f>
        <v>64891.16</v>
      </c>
    </row>
    <row r="103" spans="1:3" ht="12.75">
      <c r="A103" s="275" t="s">
        <v>32</v>
      </c>
      <c r="B103" s="214">
        <f>M4</f>
        <v>1.16</v>
      </c>
      <c r="C103" s="215">
        <f>N94</f>
        <v>86636.18519999999</v>
      </c>
    </row>
    <row r="104" spans="1:3" ht="12.75">
      <c r="A104" s="274" t="s">
        <v>33</v>
      </c>
      <c r="B104" s="214">
        <f>O4</f>
        <v>0.43</v>
      </c>
      <c r="C104" s="215">
        <f>P94</f>
        <v>26924.032</v>
      </c>
    </row>
    <row r="105" spans="1:3" ht="12.75">
      <c r="A105" s="274" t="s">
        <v>34</v>
      </c>
      <c r="B105" s="214">
        <f>Q4</f>
        <v>0.54</v>
      </c>
      <c r="C105" s="215">
        <f>R94</f>
        <v>44228.69</v>
      </c>
    </row>
    <row r="106" spans="1:3" ht="12.75">
      <c r="A106" s="274" t="s">
        <v>35</v>
      </c>
      <c r="B106" s="214">
        <f>S4</f>
        <v>1.03</v>
      </c>
      <c r="C106" s="215">
        <f>T94</f>
        <v>66934.37</v>
      </c>
    </row>
    <row r="107" spans="1:3" ht="13.5" thickBot="1">
      <c r="A107" s="223" t="s">
        <v>71</v>
      </c>
      <c r="B107" s="216">
        <f>SUM(B99:B106)</f>
        <v>9.69</v>
      </c>
      <c r="C107" s="217">
        <f>SUM(C99:C106)</f>
        <v>662133.8572000001</v>
      </c>
    </row>
    <row r="108" ht="13.5" thickTop="1"/>
  </sheetData>
  <sheetProtection/>
  <mergeCells count="100">
    <mergeCell ref="G3:H3"/>
    <mergeCell ref="G4:H4"/>
    <mergeCell ref="B22:C22"/>
    <mergeCell ref="X88:Y88"/>
    <mergeCell ref="A94:E94"/>
    <mergeCell ref="M3:N3"/>
    <mergeCell ref="M4:N4"/>
    <mergeCell ref="S3:T3"/>
    <mergeCell ref="S4:T4"/>
    <mergeCell ref="Q3:R3"/>
    <mergeCell ref="Q4:R4"/>
    <mergeCell ref="O3:P3"/>
    <mergeCell ref="O4:P4"/>
    <mergeCell ref="A6:A27"/>
    <mergeCell ref="B6:C6"/>
    <mergeCell ref="X31:Y31"/>
    <mergeCell ref="B13:C13"/>
    <mergeCell ref="B19:C19"/>
    <mergeCell ref="I3:J3"/>
    <mergeCell ref="I4:J4"/>
    <mergeCell ref="X33:Y33"/>
    <mergeCell ref="B57:C57"/>
    <mergeCell ref="B23:C23"/>
    <mergeCell ref="D2:D4"/>
    <mergeCell ref="B24:C24"/>
    <mergeCell ref="B59:C59"/>
    <mergeCell ref="X2:X4"/>
    <mergeCell ref="K4:L4"/>
    <mergeCell ref="K3:L3"/>
    <mergeCell ref="B27:C27"/>
    <mergeCell ref="B89:C89"/>
    <mergeCell ref="B80:C80"/>
    <mergeCell ref="B81:C81"/>
    <mergeCell ref="B60:C60"/>
    <mergeCell ref="B61:C61"/>
    <mergeCell ref="A67:E67"/>
    <mergeCell ref="A63:E63"/>
    <mergeCell ref="B64:C64"/>
    <mergeCell ref="B65:C65"/>
    <mergeCell ref="B66:C66"/>
    <mergeCell ref="B21:C21"/>
    <mergeCell ref="B25:C25"/>
    <mergeCell ref="A72:A76"/>
    <mergeCell ref="A88:A89"/>
    <mergeCell ref="B68:C68"/>
    <mergeCell ref="B69:C69"/>
    <mergeCell ref="B72:C72"/>
    <mergeCell ref="A71:D71"/>
    <mergeCell ref="A68:A69"/>
    <mergeCell ref="A70:D70"/>
    <mergeCell ref="A78:A81"/>
    <mergeCell ref="A2:C3"/>
    <mergeCell ref="W3:W4"/>
    <mergeCell ref="A64:A66"/>
    <mergeCell ref="A77:D77"/>
    <mergeCell ref="A90:D90"/>
    <mergeCell ref="B8:C8"/>
    <mergeCell ref="B9:C9"/>
    <mergeCell ref="B10:C10"/>
    <mergeCell ref="B11:C11"/>
    <mergeCell ref="B50:C50"/>
    <mergeCell ref="B51:C51"/>
    <mergeCell ref="B52:C52"/>
    <mergeCell ref="B26:C26"/>
    <mergeCell ref="E2:T2"/>
    <mergeCell ref="Y2:Y4"/>
    <mergeCell ref="U2:U4"/>
    <mergeCell ref="V2:V4"/>
    <mergeCell ref="B12:C12"/>
    <mergeCell ref="A47:D47"/>
    <mergeCell ref="B74:C74"/>
    <mergeCell ref="B58:C58"/>
    <mergeCell ref="B62:C62"/>
    <mergeCell ref="B7:C7"/>
    <mergeCell ref="A48:A62"/>
    <mergeCell ref="B53:C53"/>
    <mergeCell ref="B54:C54"/>
    <mergeCell ref="B55:C55"/>
    <mergeCell ref="B48:C48"/>
    <mergeCell ref="B49:C49"/>
    <mergeCell ref="B91:C91"/>
    <mergeCell ref="A91:A92"/>
    <mergeCell ref="A93:D93"/>
    <mergeCell ref="B56:C56"/>
    <mergeCell ref="B86:C86"/>
    <mergeCell ref="A82:D82"/>
    <mergeCell ref="A87:D87"/>
    <mergeCell ref="A83:A86"/>
    <mergeCell ref="B78:C78"/>
    <mergeCell ref="B79:C79"/>
    <mergeCell ref="E3:F3"/>
    <mergeCell ref="E4:F4"/>
    <mergeCell ref="A28:D28"/>
    <mergeCell ref="B88:C88"/>
    <mergeCell ref="B73:C73"/>
    <mergeCell ref="B75:C75"/>
    <mergeCell ref="B76:C76"/>
    <mergeCell ref="B83:C83"/>
    <mergeCell ref="B84:C84"/>
    <mergeCell ref="B85:C85"/>
  </mergeCells>
  <printOptions horizontalCentered="1" verticalCentered="1"/>
  <pageMargins left="0.5118110236220472" right="0.5118110236220472" top="0.3937007874015748" bottom="0.3937007874015748" header="0.31496062992125984" footer="0.31496062992125984"/>
  <pageSetup fitToHeight="0" fitToWidth="1" horizontalDpi="300" verticalDpi="300" orientation="landscape" paperSize="9" scale="41" r:id="rId1"/>
  <rowBreaks count="1" manualBreakCount="1">
    <brk id="107" max="24" man="1"/>
  </rowBreaks>
  <ignoredErrors>
    <ignoredError sqref="W28 W47" formula="1"/>
  </ignoredErrors>
</worksheet>
</file>

<file path=xl/worksheets/sheet4.xml><?xml version="1.0" encoding="utf-8"?>
<worksheet xmlns="http://schemas.openxmlformats.org/spreadsheetml/2006/main" xmlns:r="http://schemas.openxmlformats.org/officeDocument/2006/relationships">
  <dimension ref="A1:C59"/>
  <sheetViews>
    <sheetView view="pageBreakPreview" zoomScale="60" zoomScalePageLayoutView="0" workbookViewId="0" topLeftCell="A1">
      <selection activeCell="H41" sqref="H41"/>
    </sheetView>
  </sheetViews>
  <sheetFormatPr defaultColWidth="9.140625" defaultRowHeight="12.75"/>
  <cols>
    <col min="1" max="1" width="125.28125" style="0" customWidth="1"/>
    <col min="2" max="2" width="20.57421875" style="0" customWidth="1"/>
    <col min="3" max="3" width="18.421875" style="0" customWidth="1"/>
  </cols>
  <sheetData>
    <row r="1" ht="15.75">
      <c r="A1" s="269" t="s">
        <v>36</v>
      </c>
    </row>
    <row r="2" ht="17.25" customHeight="1">
      <c r="A2" s="269" t="s">
        <v>4</v>
      </c>
    </row>
    <row r="3" ht="47.25" customHeight="1">
      <c r="A3" s="3" t="s">
        <v>5</v>
      </c>
    </row>
    <row r="4" ht="15.75">
      <c r="A4" s="3" t="s">
        <v>6</v>
      </c>
    </row>
    <row r="5" ht="15.75">
      <c r="A5" s="3" t="s">
        <v>7</v>
      </c>
    </row>
    <row r="6" ht="15.75">
      <c r="A6" s="3" t="s">
        <v>8</v>
      </c>
    </row>
    <row r="7" spans="1:3" ht="30.75">
      <c r="A7" s="3" t="s">
        <v>9</v>
      </c>
      <c r="C7" s="250"/>
    </row>
    <row r="8" ht="30.75">
      <c r="A8" s="3" t="s">
        <v>10</v>
      </c>
    </row>
    <row r="9" ht="15">
      <c r="A9" s="270"/>
    </row>
    <row r="10" ht="18">
      <c r="A10" s="271" t="s">
        <v>11</v>
      </c>
    </row>
    <row r="11" ht="45.75">
      <c r="A11" s="3" t="s">
        <v>12</v>
      </c>
    </row>
    <row r="12" ht="30.75">
      <c r="A12" s="3" t="s">
        <v>13</v>
      </c>
    </row>
    <row r="13" ht="45.75">
      <c r="A13" s="3" t="s">
        <v>14</v>
      </c>
    </row>
    <row r="14" ht="47.25">
      <c r="A14" s="3" t="s">
        <v>37</v>
      </c>
    </row>
    <row r="15" ht="15.75">
      <c r="A15" s="3"/>
    </row>
    <row r="16" ht="15.75">
      <c r="A16" s="3"/>
    </row>
    <row r="17" ht="15.75">
      <c r="A17" s="3" t="s">
        <v>15</v>
      </c>
    </row>
    <row r="18" ht="15.75">
      <c r="A18" s="3"/>
    </row>
    <row r="19" ht="15.75">
      <c r="A19" s="3" t="s">
        <v>1</v>
      </c>
    </row>
    <row r="20" ht="15.75">
      <c r="A20" s="3"/>
    </row>
    <row r="21" ht="15.75">
      <c r="A21" s="3" t="s">
        <v>16</v>
      </c>
    </row>
    <row r="22" ht="16.5" thickBot="1">
      <c r="A22" s="3"/>
    </row>
    <row r="23" spans="1:3" ht="61.5" thickBot="1">
      <c r="A23" s="272" t="s">
        <v>17</v>
      </c>
      <c r="B23" s="273" t="s">
        <v>18</v>
      </c>
      <c r="C23" s="273" t="s">
        <v>19</v>
      </c>
    </row>
    <row r="24" spans="1:3" ht="94.5" customHeight="1">
      <c r="A24" s="543" t="s">
        <v>54</v>
      </c>
      <c r="B24" s="545">
        <v>5814</v>
      </c>
      <c r="C24" s="547" t="s">
        <v>38</v>
      </c>
    </row>
    <row r="25" spans="1:3" ht="13.5" thickBot="1">
      <c r="A25" s="544"/>
      <c r="B25" s="546"/>
      <c r="C25" s="548"/>
    </row>
    <row r="26" ht="12.75">
      <c r="A26" s="260"/>
    </row>
    <row r="27" ht="12.75">
      <c r="A27" s="1"/>
    </row>
    <row r="28" ht="12.75">
      <c r="A28" s="260"/>
    </row>
    <row r="29" ht="12.75">
      <c r="A29" s="260"/>
    </row>
    <row r="30" ht="12.75">
      <c r="A30" s="1"/>
    </row>
    <row r="31" spans="1:3" ht="12.75">
      <c r="A31" s="260"/>
      <c r="C31" s="250"/>
    </row>
    <row r="32" ht="12.75">
      <c r="A32" s="260"/>
    </row>
    <row r="33" ht="12.75">
      <c r="A33" s="260"/>
    </row>
    <row r="34" ht="12.75">
      <c r="A34" s="260"/>
    </row>
    <row r="35" ht="12.75">
      <c r="A35" s="260"/>
    </row>
    <row r="36" ht="12.75">
      <c r="A36" s="260"/>
    </row>
    <row r="37" ht="12.75">
      <c r="A37" s="260"/>
    </row>
    <row r="38" ht="12.75">
      <c r="A38" s="260"/>
    </row>
    <row r="39" ht="12.75">
      <c r="A39" s="260"/>
    </row>
    <row r="40" ht="12.75">
      <c r="A40" s="260"/>
    </row>
    <row r="41" ht="12.75">
      <c r="A41" s="260"/>
    </row>
    <row r="42" ht="12.75">
      <c r="A42" s="260"/>
    </row>
    <row r="43" ht="12.75">
      <c r="A43" s="260"/>
    </row>
    <row r="44" ht="12.75">
      <c r="A44" s="260"/>
    </row>
    <row r="45" ht="12.75">
      <c r="A45" s="260"/>
    </row>
    <row r="46" ht="12.75">
      <c r="A46" s="260"/>
    </row>
    <row r="47" ht="12.75">
      <c r="A47" s="260"/>
    </row>
    <row r="48" ht="12.75">
      <c r="A48" s="260"/>
    </row>
    <row r="49" ht="12.75">
      <c r="A49" s="260"/>
    </row>
    <row r="50" ht="12.75">
      <c r="A50" s="260"/>
    </row>
    <row r="51" ht="12.75">
      <c r="A51" s="1"/>
    </row>
    <row r="52" ht="12.75">
      <c r="A52" s="260"/>
    </row>
    <row r="53" ht="12.75">
      <c r="A53" s="1"/>
    </row>
    <row r="54" ht="12.75">
      <c r="A54" s="15"/>
    </row>
    <row r="55" ht="12.75">
      <c r="A55" s="260"/>
    </row>
    <row r="56" ht="12.75">
      <c r="A56" s="260"/>
    </row>
    <row r="57" ht="12.75">
      <c r="A57" s="260"/>
    </row>
    <row r="58" ht="12.75">
      <c r="A58" s="1"/>
    </row>
    <row r="59" ht="12.75">
      <c r="A59" s="260"/>
    </row>
  </sheetData>
  <sheetProtection/>
  <mergeCells count="3">
    <mergeCell ref="A24:A25"/>
    <mergeCell ref="B24:B25"/>
    <mergeCell ref="C24:C25"/>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53" r:id="rId2"/>
  <drawing r:id="rId1"/>
</worksheet>
</file>

<file path=xl/worksheets/sheet5.xml><?xml version="1.0" encoding="utf-8"?>
<worksheet xmlns="http://schemas.openxmlformats.org/spreadsheetml/2006/main" xmlns:r="http://schemas.openxmlformats.org/officeDocument/2006/relationships">
  <dimension ref="A2:L297"/>
  <sheetViews>
    <sheetView view="pageBreakPreview" zoomScale="60" zoomScalePageLayoutView="0" workbookViewId="0" topLeftCell="A3">
      <selection activeCell="P308" sqref="P308"/>
    </sheetView>
  </sheetViews>
  <sheetFormatPr defaultColWidth="9.140625" defaultRowHeight="12.75"/>
  <cols>
    <col min="1" max="1" width="31.140625" style="0" customWidth="1"/>
    <col min="2" max="2" width="30.8515625" style="0" customWidth="1"/>
    <col min="3" max="3" width="20.8515625" style="0" customWidth="1"/>
    <col min="4" max="4" width="13.28125" style="0" customWidth="1"/>
    <col min="5" max="5" width="14.57421875" style="0" customWidth="1"/>
    <col min="6" max="6" width="16.8515625" style="0" customWidth="1"/>
    <col min="7" max="7" width="14.421875" style="0" customWidth="1"/>
    <col min="8" max="8" width="14.7109375" style="0" customWidth="1"/>
    <col min="9" max="9" width="12.140625" style="0" customWidth="1"/>
  </cols>
  <sheetData>
    <row r="2" ht="12.75">
      <c r="A2" t="s">
        <v>143</v>
      </c>
    </row>
    <row r="3" spans="1:7" ht="12.75">
      <c r="A3" s="4" t="s">
        <v>152</v>
      </c>
      <c r="B3" s="4" t="s">
        <v>144</v>
      </c>
      <c r="C3" s="4" t="s">
        <v>161</v>
      </c>
      <c r="D3" s="4" t="s">
        <v>70</v>
      </c>
      <c r="E3" s="4" t="s">
        <v>224</v>
      </c>
      <c r="F3" s="90" t="s">
        <v>212</v>
      </c>
      <c r="G3" s="90" t="s">
        <v>312</v>
      </c>
    </row>
    <row r="4" spans="1:9" ht="25.5">
      <c r="A4" s="1" t="s">
        <v>344</v>
      </c>
      <c r="B4" s="1" t="s">
        <v>345</v>
      </c>
      <c r="C4">
        <v>700</v>
      </c>
      <c r="D4">
        <v>184.01</v>
      </c>
      <c r="E4" s="111">
        <f>ROUND(D4/C4,2)</f>
        <v>0.26</v>
      </c>
      <c r="F4" s="6" t="s">
        <v>55</v>
      </c>
      <c r="G4" s="6" t="s">
        <v>316</v>
      </c>
      <c r="H4" s="286"/>
      <c r="I4" s="286"/>
    </row>
    <row r="5" spans="8:9" ht="12.75">
      <c r="H5" s="286"/>
      <c r="I5" s="286"/>
    </row>
    <row r="6" spans="1:9" ht="12.75">
      <c r="A6" s="4" t="s">
        <v>152</v>
      </c>
      <c r="B6" s="4" t="s">
        <v>144</v>
      </c>
      <c r="C6" s="4" t="s">
        <v>162</v>
      </c>
      <c r="D6" s="4" t="s">
        <v>70</v>
      </c>
      <c r="E6" s="4" t="s">
        <v>145</v>
      </c>
      <c r="F6" s="90" t="s">
        <v>212</v>
      </c>
      <c r="G6" s="90" t="s">
        <v>312</v>
      </c>
      <c r="H6" s="286"/>
      <c r="I6" s="286"/>
    </row>
    <row r="7" spans="1:9" ht="25.5">
      <c r="A7" s="4" t="s">
        <v>343</v>
      </c>
      <c r="B7" s="1" t="s">
        <v>345</v>
      </c>
      <c r="C7">
        <v>70</v>
      </c>
      <c r="D7">
        <f>D4</f>
        <v>184.01</v>
      </c>
      <c r="E7" s="51">
        <f>ROUND(D7/C7,2)</f>
        <v>2.63</v>
      </c>
      <c r="F7" s="6" t="s">
        <v>55</v>
      </c>
      <c r="G7" s="6" t="s">
        <v>316</v>
      </c>
      <c r="H7" s="286"/>
      <c r="I7" s="286"/>
    </row>
    <row r="8" spans="8:9" ht="12.75">
      <c r="H8" s="286"/>
      <c r="I8" s="286"/>
    </row>
    <row r="9" spans="1:9" ht="12.75">
      <c r="A9" s="4" t="s">
        <v>152</v>
      </c>
      <c r="B9" s="4" t="s">
        <v>144</v>
      </c>
      <c r="C9" s="4" t="s">
        <v>162</v>
      </c>
      <c r="D9" s="4" t="s">
        <v>70</v>
      </c>
      <c r="E9" s="4" t="s">
        <v>145</v>
      </c>
      <c r="F9" s="90" t="s">
        <v>212</v>
      </c>
      <c r="G9" s="90" t="s">
        <v>312</v>
      </c>
      <c r="H9" s="286"/>
      <c r="I9" s="286"/>
    </row>
    <row r="10" spans="1:9" ht="28.5" customHeight="1" hidden="1">
      <c r="A10" s="549" t="s">
        <v>103</v>
      </c>
      <c r="B10" s="260" t="s">
        <v>146</v>
      </c>
      <c r="C10">
        <v>60</v>
      </c>
      <c r="D10">
        <v>244.35</v>
      </c>
      <c r="E10" s="51">
        <f>D10/C10</f>
        <v>4.0725</v>
      </c>
      <c r="F10" s="6" t="s">
        <v>55</v>
      </c>
      <c r="G10" s="6" t="s">
        <v>313</v>
      </c>
      <c r="H10" s="286"/>
      <c r="I10" s="286"/>
    </row>
    <row r="11" spans="1:9" ht="25.5" hidden="1">
      <c r="A11" s="549"/>
      <c r="B11" s="260" t="s">
        <v>147</v>
      </c>
      <c r="C11">
        <v>110</v>
      </c>
      <c r="D11">
        <v>286.69</v>
      </c>
      <c r="E11" s="51">
        <f>D11/C11</f>
        <v>2.606272727272727</v>
      </c>
      <c r="F11" s="6" t="s">
        <v>55</v>
      </c>
      <c r="G11" s="6" t="s">
        <v>314</v>
      </c>
      <c r="H11" s="286"/>
      <c r="I11" s="286"/>
    </row>
    <row r="12" spans="1:9" ht="25.5">
      <c r="A12" s="549"/>
      <c r="B12" s="260" t="s">
        <v>315</v>
      </c>
      <c r="C12">
        <v>70</v>
      </c>
      <c r="D12">
        <v>184.01</v>
      </c>
      <c r="E12" s="249">
        <f>D12/C12</f>
        <v>2.6287142857142856</v>
      </c>
      <c r="F12" s="6" t="s">
        <v>55</v>
      </c>
      <c r="G12" s="6" t="s">
        <v>316</v>
      </c>
      <c r="H12" s="286"/>
      <c r="I12" s="286"/>
    </row>
    <row r="13" spans="1:9" ht="25.5">
      <c r="A13" s="549"/>
      <c r="B13" s="260" t="s">
        <v>336</v>
      </c>
      <c r="C13">
        <v>120</v>
      </c>
      <c r="D13">
        <v>322.45</v>
      </c>
      <c r="E13" s="51">
        <f>D13/C13</f>
        <v>2.6870833333333333</v>
      </c>
      <c r="F13" s="6" t="s">
        <v>55</v>
      </c>
      <c r="G13" s="6" t="s">
        <v>337</v>
      </c>
      <c r="H13" s="286"/>
      <c r="I13" s="286"/>
    </row>
    <row r="14" spans="1:9" ht="12.75">
      <c r="A14" s="549"/>
      <c r="B14" s="260" t="s">
        <v>148</v>
      </c>
      <c r="E14" s="52">
        <f>ROUND((E10+E11+E12+E13)/4,2)</f>
        <v>3</v>
      </c>
      <c r="F14" s="6"/>
      <c r="H14" s="286"/>
      <c r="I14" s="286"/>
    </row>
    <row r="15" spans="1:9" ht="12.75">
      <c r="A15" s="264"/>
      <c r="B15" s="260"/>
      <c r="E15" s="52"/>
      <c r="F15" s="6"/>
      <c r="H15" s="286"/>
      <c r="I15" s="286"/>
    </row>
    <row r="16" spans="1:9" ht="12.75">
      <c r="A16" s="262" t="s">
        <v>237</v>
      </c>
      <c r="B16" s="4" t="s">
        <v>144</v>
      </c>
      <c r="C16" s="4" t="s">
        <v>162</v>
      </c>
      <c r="D16" s="4" t="s">
        <v>70</v>
      </c>
      <c r="E16" s="4" t="s">
        <v>145</v>
      </c>
      <c r="F16" s="90" t="s">
        <v>212</v>
      </c>
      <c r="H16" s="286"/>
      <c r="I16" s="286"/>
    </row>
    <row r="17" spans="1:9" ht="25.5">
      <c r="A17" s="264"/>
      <c r="B17" s="260" t="s">
        <v>315</v>
      </c>
      <c r="C17">
        <v>70</v>
      </c>
      <c r="D17">
        <f>D4</f>
        <v>184.01</v>
      </c>
      <c r="E17" s="249">
        <f>ROUND(D17/C17,2)</f>
        <v>2.63</v>
      </c>
      <c r="F17" s="6" t="s">
        <v>55</v>
      </c>
      <c r="G17" s="6" t="s">
        <v>316</v>
      </c>
      <c r="H17" s="286"/>
      <c r="I17" s="286"/>
    </row>
    <row r="18" spans="1:9" ht="12.75">
      <c r="A18" s="264"/>
      <c r="B18" s="260"/>
      <c r="E18" s="52"/>
      <c r="F18" s="6"/>
      <c r="H18" s="286"/>
      <c r="I18" s="286"/>
    </row>
    <row r="19" spans="1:9" ht="12.75">
      <c r="A19" s="262"/>
      <c r="B19" s="4" t="s">
        <v>144</v>
      </c>
      <c r="C19" s="4" t="s">
        <v>161</v>
      </c>
      <c r="D19" s="4" t="s">
        <v>70</v>
      </c>
      <c r="E19" s="4" t="s">
        <v>145</v>
      </c>
      <c r="F19" s="6"/>
      <c r="H19" s="286"/>
      <c r="I19" s="286"/>
    </row>
    <row r="20" spans="1:9" ht="12.75" customHeight="1">
      <c r="A20" s="550" t="s">
        <v>347</v>
      </c>
      <c r="B20" s="260" t="s">
        <v>153</v>
      </c>
      <c r="C20">
        <v>1250</v>
      </c>
      <c r="D20">
        <v>270.84</v>
      </c>
      <c r="E20" s="51">
        <f>D20/C20*3.33</f>
        <v>0.7215177599999999</v>
      </c>
      <c r="F20" s="6" t="s">
        <v>55</v>
      </c>
      <c r="G20" s="6" t="s">
        <v>317</v>
      </c>
      <c r="H20" s="286" t="s">
        <v>371</v>
      </c>
      <c r="I20" s="286"/>
    </row>
    <row r="21" spans="1:9" ht="12.75">
      <c r="A21" s="550"/>
      <c r="B21" s="260" t="s">
        <v>318</v>
      </c>
      <c r="C21">
        <v>1500</v>
      </c>
      <c r="D21">
        <v>152.22</v>
      </c>
      <c r="E21" s="51">
        <f>D21/C21*3.33</f>
        <v>0.3379284</v>
      </c>
      <c r="F21" s="6" t="s">
        <v>55</v>
      </c>
      <c r="G21" s="6" t="s">
        <v>319</v>
      </c>
      <c r="H21" s="286" t="s">
        <v>372</v>
      </c>
      <c r="I21" s="286"/>
    </row>
    <row r="22" spans="1:9" ht="12.75">
      <c r="A22" s="550"/>
      <c r="B22" s="260" t="s">
        <v>65</v>
      </c>
      <c r="E22" s="52">
        <f>ROUND(SUM(E20:E21),2)</f>
        <v>1.06</v>
      </c>
      <c r="F22" s="6"/>
      <c r="H22" s="286"/>
      <c r="I22" s="286"/>
    </row>
    <row r="23" spans="1:9" ht="12.75">
      <c r="A23" s="261"/>
      <c r="B23" s="260"/>
      <c r="E23" s="52"/>
      <c r="F23" s="6"/>
      <c r="H23" s="286"/>
      <c r="I23" s="286"/>
    </row>
    <row r="24" spans="1:9" ht="12.75">
      <c r="A24" s="261"/>
      <c r="B24" s="4" t="s">
        <v>144</v>
      </c>
      <c r="C24" s="4" t="s">
        <v>161</v>
      </c>
      <c r="D24" s="4" t="s">
        <v>70</v>
      </c>
      <c r="E24" s="4" t="s">
        <v>224</v>
      </c>
      <c r="F24" s="6"/>
      <c r="H24" s="286"/>
      <c r="I24" s="286"/>
    </row>
    <row r="25" spans="1:9" ht="12.75" customHeight="1">
      <c r="A25" s="550" t="s">
        <v>350</v>
      </c>
      <c r="B25" s="260" t="s">
        <v>153</v>
      </c>
      <c r="C25">
        <v>1000</v>
      </c>
      <c r="D25">
        <v>270.84</v>
      </c>
      <c r="E25" s="51">
        <f>D25/C25</f>
        <v>0.27083999999999997</v>
      </c>
      <c r="F25" s="6" t="s">
        <v>55</v>
      </c>
      <c r="G25" s="6" t="s">
        <v>317</v>
      </c>
      <c r="H25" s="286" t="s">
        <v>351</v>
      </c>
      <c r="I25" s="286"/>
    </row>
    <row r="26" spans="1:9" ht="12.75">
      <c r="A26" s="550"/>
      <c r="B26" s="260" t="s">
        <v>318</v>
      </c>
      <c r="C26">
        <v>1200</v>
      </c>
      <c r="D26">
        <v>152.22</v>
      </c>
      <c r="E26" s="51">
        <f>D26/C26</f>
        <v>0.12685</v>
      </c>
      <c r="F26" s="6" t="s">
        <v>55</v>
      </c>
      <c r="G26" s="6" t="s">
        <v>319</v>
      </c>
      <c r="H26" s="286" t="s">
        <v>352</v>
      </c>
      <c r="I26" s="286"/>
    </row>
    <row r="27" spans="1:9" ht="25.5">
      <c r="A27" s="550"/>
      <c r="B27" s="260" t="s">
        <v>348</v>
      </c>
      <c r="C27">
        <v>2500</v>
      </c>
      <c r="D27">
        <v>106.85</v>
      </c>
      <c r="E27" s="51">
        <f>D27/C27</f>
        <v>0.04274</v>
      </c>
      <c r="F27" s="6" t="s">
        <v>55</v>
      </c>
      <c r="G27" s="6" t="s">
        <v>325</v>
      </c>
      <c r="H27" s="286"/>
      <c r="I27" s="286"/>
    </row>
    <row r="28" spans="1:9" ht="12.75">
      <c r="A28" s="550"/>
      <c r="B28" s="260" t="s">
        <v>65</v>
      </c>
      <c r="E28" s="52">
        <f>ROUND(SUM(E25:E26),2)</f>
        <v>0.4</v>
      </c>
      <c r="F28" s="6"/>
      <c r="H28" s="286"/>
      <c r="I28" s="286"/>
    </row>
    <row r="29" spans="1:9" ht="12.75">
      <c r="A29" s="264"/>
      <c r="B29" s="260"/>
      <c r="E29" s="51"/>
      <c r="F29" s="6"/>
      <c r="H29" s="286"/>
      <c r="I29" s="286"/>
    </row>
    <row r="30" spans="1:9" ht="12.75">
      <c r="A30" s="15"/>
      <c r="B30" s="4" t="s">
        <v>144</v>
      </c>
      <c r="C30" s="4" t="s">
        <v>160</v>
      </c>
      <c r="D30" s="4" t="s">
        <v>70</v>
      </c>
      <c r="E30" s="4" t="s">
        <v>145</v>
      </c>
      <c r="F30" s="6"/>
      <c r="H30" s="286"/>
      <c r="I30" s="286"/>
    </row>
    <row r="31" spans="1:9" ht="41.25" customHeight="1">
      <c r="A31" s="15" t="s">
        <v>150</v>
      </c>
      <c r="B31" s="260" t="s">
        <v>151</v>
      </c>
      <c r="C31" s="250">
        <v>1330</v>
      </c>
      <c r="D31">
        <v>214.3</v>
      </c>
      <c r="E31" s="51">
        <f>ROUND(D31/C31,2)</f>
        <v>0.16</v>
      </c>
      <c r="F31" s="6" t="s">
        <v>55</v>
      </c>
      <c r="G31" s="6" t="s">
        <v>320</v>
      </c>
      <c r="H31" s="286"/>
      <c r="I31" s="286"/>
    </row>
    <row r="32" spans="1:9" ht="12.75">
      <c r="A32" s="1"/>
      <c r="B32" s="1"/>
      <c r="F32" s="6"/>
      <c r="G32" s="6"/>
      <c r="H32" s="286"/>
      <c r="I32" s="286"/>
    </row>
    <row r="33" spans="1:9" ht="12.75">
      <c r="A33" s="1"/>
      <c r="B33" s="18" t="s">
        <v>144</v>
      </c>
      <c r="C33" s="12" t="s">
        <v>163</v>
      </c>
      <c r="D33" s="12" t="s">
        <v>70</v>
      </c>
      <c r="E33" s="12" t="s">
        <v>156</v>
      </c>
      <c r="F33" s="91" t="s">
        <v>212</v>
      </c>
      <c r="G33" s="91" t="s">
        <v>312</v>
      </c>
      <c r="H33" s="286"/>
      <c r="I33" s="286"/>
    </row>
    <row r="34" spans="1:9" ht="25.5">
      <c r="A34" s="15" t="s">
        <v>155</v>
      </c>
      <c r="B34" s="1" t="s">
        <v>146</v>
      </c>
      <c r="C34">
        <v>50</v>
      </c>
      <c r="D34">
        <v>244.35</v>
      </c>
      <c r="E34" s="51">
        <f>ROUND(D34/C34,2)</f>
        <v>4.89</v>
      </c>
      <c r="F34" s="6" t="s">
        <v>55</v>
      </c>
      <c r="G34" s="6" t="s">
        <v>313</v>
      </c>
      <c r="H34" s="286"/>
      <c r="I34" s="286"/>
    </row>
    <row r="35" spans="1:9" ht="12.75">
      <c r="A35" s="1"/>
      <c r="B35" s="1"/>
      <c r="F35" s="6"/>
      <c r="G35" s="6"/>
      <c r="H35" s="286"/>
      <c r="I35" s="286"/>
    </row>
    <row r="36" spans="1:9" ht="12.75">
      <c r="A36" s="1"/>
      <c r="B36" s="15" t="s">
        <v>144</v>
      </c>
      <c r="C36" s="4" t="s">
        <v>164</v>
      </c>
      <c r="D36" s="4" t="s">
        <v>70</v>
      </c>
      <c r="E36" s="4" t="s">
        <v>159</v>
      </c>
      <c r="F36" s="91" t="s">
        <v>212</v>
      </c>
      <c r="G36" s="91" t="s">
        <v>312</v>
      </c>
      <c r="H36" s="286"/>
      <c r="I36" s="286"/>
    </row>
    <row r="37" spans="1:9" ht="25.5">
      <c r="A37" s="15" t="s">
        <v>158</v>
      </c>
      <c r="B37" s="260" t="s">
        <v>315</v>
      </c>
      <c r="C37">
        <v>2</v>
      </c>
      <c r="D37">
        <f>D4</f>
        <v>184.01</v>
      </c>
      <c r="E37">
        <f>ROUND(D37/C37,2)</f>
        <v>92.01</v>
      </c>
      <c r="F37" s="6" t="s">
        <v>55</v>
      </c>
      <c r="G37" s="6" t="s">
        <v>316</v>
      </c>
      <c r="H37" s="286"/>
      <c r="I37" s="286"/>
    </row>
    <row r="38" spans="1:9" ht="12.75">
      <c r="A38" s="1"/>
      <c r="B38" s="1"/>
      <c r="F38" s="6"/>
      <c r="G38" s="6"/>
      <c r="H38" s="286"/>
      <c r="I38" s="286"/>
    </row>
    <row r="39" spans="1:9" ht="12.75" hidden="1">
      <c r="A39" s="1"/>
      <c r="B39" s="18" t="s">
        <v>286</v>
      </c>
      <c r="C39" s="12" t="s">
        <v>164</v>
      </c>
      <c r="D39" s="12" t="s">
        <v>288</v>
      </c>
      <c r="E39" s="12" t="s">
        <v>159</v>
      </c>
      <c r="F39" s="6"/>
      <c r="G39" s="6"/>
      <c r="H39" s="286"/>
      <c r="I39" s="286"/>
    </row>
    <row r="40" spans="1:9" ht="25.5" customHeight="1" hidden="1">
      <c r="A40" s="433" t="s">
        <v>287</v>
      </c>
      <c r="B40" s="260" t="s">
        <v>315</v>
      </c>
      <c r="C40">
        <v>2</v>
      </c>
      <c r="D40">
        <f>D4</f>
        <v>184.01</v>
      </c>
      <c r="E40">
        <f>ROUND(D40/C40,2)</f>
        <v>92.01</v>
      </c>
      <c r="F40" s="6" t="s">
        <v>55</v>
      </c>
      <c r="G40" s="6" t="s">
        <v>316</v>
      </c>
      <c r="H40" s="286"/>
      <c r="I40" s="286"/>
    </row>
    <row r="41" spans="1:9" ht="33" customHeight="1" hidden="1">
      <c r="A41" s="433"/>
      <c r="B41" s="95" t="s">
        <v>284</v>
      </c>
      <c r="C41" s="251" t="s">
        <v>68</v>
      </c>
      <c r="D41" s="92">
        <v>176.32</v>
      </c>
      <c r="E41" s="93">
        <v>367.45</v>
      </c>
      <c r="F41" s="6" t="s">
        <v>370</v>
      </c>
      <c r="G41" s="103" t="s">
        <v>285</v>
      </c>
      <c r="H41" s="286"/>
      <c r="I41" s="286"/>
    </row>
    <row r="42" spans="1:9" ht="12.75" hidden="1">
      <c r="A42" s="559" t="s">
        <v>289</v>
      </c>
      <c r="B42" s="395"/>
      <c r="C42" s="395"/>
      <c r="D42" s="395"/>
      <c r="E42">
        <f>ROUND(SUM(E40:E41),2)</f>
        <v>459.46</v>
      </c>
      <c r="F42" s="6"/>
      <c r="H42" s="286"/>
      <c r="I42" s="286"/>
    </row>
    <row r="43" spans="2:10" ht="26.25" customHeight="1">
      <c r="B43" s="15" t="s">
        <v>144</v>
      </c>
      <c r="C43" s="4" t="s">
        <v>164</v>
      </c>
      <c r="D43" s="4" t="s">
        <v>70</v>
      </c>
      <c r="E43" s="4" t="s">
        <v>159</v>
      </c>
      <c r="F43" s="90" t="s">
        <v>212</v>
      </c>
      <c r="G43" s="91" t="s">
        <v>312</v>
      </c>
      <c r="H43" s="286"/>
      <c r="I43" s="286"/>
      <c r="J43" s="250"/>
    </row>
    <row r="44" spans="1:9" ht="25.5">
      <c r="A44" s="15" t="s">
        <v>373</v>
      </c>
      <c r="B44" s="260" t="s">
        <v>315</v>
      </c>
      <c r="C44">
        <v>0.33</v>
      </c>
      <c r="D44">
        <f>D4</f>
        <v>184.01</v>
      </c>
      <c r="E44" s="51">
        <f>ROUND(D44/C44,2)</f>
        <v>557.61</v>
      </c>
      <c r="F44" s="6" t="s">
        <v>370</v>
      </c>
      <c r="G44" s="6" t="s">
        <v>316</v>
      </c>
      <c r="H44" s="286"/>
      <c r="I44" s="286"/>
    </row>
    <row r="45" spans="1:9" ht="25.5" hidden="1">
      <c r="A45" s="15" t="s">
        <v>374</v>
      </c>
      <c r="B45" s="260" t="s">
        <v>315</v>
      </c>
      <c r="C45">
        <v>0.25</v>
      </c>
      <c r="D45">
        <f>D4</f>
        <v>184.01</v>
      </c>
      <c r="E45" s="51">
        <f>ROUND(D45/C45,2)</f>
        <v>736.04</v>
      </c>
      <c r="F45" s="6" t="s">
        <v>370</v>
      </c>
      <c r="G45" s="6" t="s">
        <v>316</v>
      </c>
      <c r="H45" s="286"/>
      <c r="I45" s="286"/>
    </row>
    <row r="46" spans="1:9" ht="25.5" hidden="1">
      <c r="A46" s="15" t="s">
        <v>375</v>
      </c>
      <c r="B46" s="260" t="s">
        <v>315</v>
      </c>
      <c r="C46">
        <v>0.15</v>
      </c>
      <c r="D46">
        <f>D4</f>
        <v>184.01</v>
      </c>
      <c r="E46" s="249">
        <f>ROUND(D46/C46,2)</f>
        <v>1226.73</v>
      </c>
      <c r="F46" s="6" t="s">
        <v>370</v>
      </c>
      <c r="G46" s="6" t="s">
        <v>316</v>
      </c>
      <c r="H46" s="286"/>
      <c r="I46" s="286"/>
    </row>
    <row r="47" spans="1:9" ht="12.75">
      <c r="A47" s="260"/>
      <c r="B47" s="260"/>
      <c r="E47" s="249"/>
      <c r="H47" s="286"/>
      <c r="I47" s="286"/>
    </row>
    <row r="48" spans="1:9" ht="45.75" customHeight="1" hidden="1">
      <c r="A48" s="552" t="s">
        <v>223</v>
      </c>
      <c r="B48" s="15" t="s">
        <v>252</v>
      </c>
      <c r="C48" s="4" t="s">
        <v>66</v>
      </c>
      <c r="D48" s="4" t="s">
        <v>80</v>
      </c>
      <c r="E48" s="52" t="s">
        <v>209</v>
      </c>
      <c r="F48" s="4" t="s">
        <v>63</v>
      </c>
      <c r="G48" s="4" t="s">
        <v>212</v>
      </c>
      <c r="H48" s="293" t="s">
        <v>175</v>
      </c>
      <c r="I48" s="286"/>
    </row>
    <row r="49" spans="1:9" ht="12.75" hidden="1">
      <c r="A49" s="552"/>
      <c r="B49" s="260" t="s">
        <v>211</v>
      </c>
      <c r="C49" s="250" t="s">
        <v>67</v>
      </c>
      <c r="D49">
        <v>400</v>
      </c>
      <c r="E49" s="250">
        <v>2.35</v>
      </c>
      <c r="F49" s="51">
        <f>D49*E49</f>
        <v>940</v>
      </c>
      <c r="G49" s="250" t="s">
        <v>216</v>
      </c>
      <c r="H49" s="294">
        <v>6193</v>
      </c>
      <c r="I49" s="286"/>
    </row>
    <row r="50" spans="1:9" ht="12.75" hidden="1">
      <c r="A50" s="552"/>
      <c r="B50" s="260" t="s">
        <v>222</v>
      </c>
      <c r="C50" s="250" t="s">
        <v>69</v>
      </c>
      <c r="D50">
        <v>160</v>
      </c>
      <c r="E50" s="249">
        <v>5.99</v>
      </c>
      <c r="F50" s="51">
        <f>D50*E50</f>
        <v>958.4000000000001</v>
      </c>
      <c r="G50" s="250" t="s">
        <v>216</v>
      </c>
      <c r="H50" s="286"/>
      <c r="I50" s="286"/>
    </row>
    <row r="51" spans="1:9" ht="12.75" hidden="1">
      <c r="A51" s="552"/>
      <c r="B51" s="260" t="s">
        <v>235</v>
      </c>
      <c r="C51" t="s">
        <v>68</v>
      </c>
      <c r="D51">
        <v>16</v>
      </c>
      <c r="E51" s="51">
        <v>259.88</v>
      </c>
      <c r="F51" s="51">
        <f>D51*E51</f>
        <v>4158.08</v>
      </c>
      <c r="G51" s="250" t="s">
        <v>213</v>
      </c>
      <c r="H51" s="295">
        <v>110113</v>
      </c>
      <c r="I51" s="286"/>
    </row>
    <row r="52" spans="1:9" ht="12.75" hidden="1">
      <c r="A52" s="552"/>
      <c r="B52" s="1" t="s">
        <v>210</v>
      </c>
      <c r="C52" s="250" t="s">
        <v>69</v>
      </c>
      <c r="D52">
        <v>160</v>
      </c>
      <c r="E52" s="51">
        <v>50.36</v>
      </c>
      <c r="F52" s="51">
        <f>D52*E52</f>
        <v>8057.6</v>
      </c>
      <c r="G52" s="250" t="s">
        <v>213</v>
      </c>
      <c r="H52" s="295">
        <v>111602</v>
      </c>
      <c r="I52" s="286"/>
    </row>
    <row r="53" spans="1:9" ht="12.75" hidden="1">
      <c r="A53" s="1"/>
      <c r="B53" s="1" t="s">
        <v>339</v>
      </c>
      <c r="E53" s="52"/>
      <c r="F53" s="51">
        <f>SUM(F49:F52)</f>
        <v>14114.08</v>
      </c>
      <c r="H53" s="286"/>
      <c r="I53" s="286"/>
    </row>
    <row r="54" spans="2:9" ht="12.75" hidden="1">
      <c r="B54" s="15" t="s">
        <v>145</v>
      </c>
      <c r="E54" s="51"/>
      <c r="F54" s="52">
        <f>ROUND(F53/160*10,2)</f>
        <v>882.13</v>
      </c>
      <c r="H54" s="286"/>
      <c r="I54" s="286"/>
    </row>
    <row r="55" spans="2:9" ht="12.75" hidden="1">
      <c r="B55" s="1"/>
      <c r="E55" s="51"/>
      <c r="F55" s="51"/>
      <c r="H55" s="286"/>
      <c r="I55" s="286"/>
    </row>
    <row r="56" spans="1:9" ht="12.75" customHeight="1" hidden="1">
      <c r="A56" s="433" t="s">
        <v>243</v>
      </c>
      <c r="B56" s="15" t="s">
        <v>252</v>
      </c>
      <c r="C56" s="4" t="s">
        <v>66</v>
      </c>
      <c r="D56" s="4" t="s">
        <v>80</v>
      </c>
      <c r="E56" s="52" t="s">
        <v>209</v>
      </c>
      <c r="F56" s="52" t="s">
        <v>63</v>
      </c>
      <c r="G56" s="4" t="s">
        <v>212</v>
      </c>
      <c r="H56" s="293" t="s">
        <v>175</v>
      </c>
      <c r="I56" s="286"/>
    </row>
    <row r="57" spans="1:9" ht="12.75" hidden="1">
      <c r="A57" s="433"/>
      <c r="B57" s="260" t="s">
        <v>242</v>
      </c>
      <c r="C57" s="250" t="s">
        <v>68</v>
      </c>
      <c r="D57">
        <v>5</v>
      </c>
      <c r="E57" s="51">
        <v>250.43</v>
      </c>
      <c r="F57" s="51">
        <f>D57*E57</f>
        <v>1252.15</v>
      </c>
      <c r="G57" s="250" t="s">
        <v>241</v>
      </c>
      <c r="H57" s="295">
        <v>110110</v>
      </c>
      <c r="I57" s="286"/>
    </row>
    <row r="58" spans="1:9" ht="12.75" hidden="1">
      <c r="A58" s="433"/>
      <c r="B58" s="260" t="s">
        <v>210</v>
      </c>
      <c r="C58" s="250" t="s">
        <v>69</v>
      </c>
      <c r="D58">
        <v>100</v>
      </c>
      <c r="E58" s="51">
        <v>50.36</v>
      </c>
      <c r="F58" s="51">
        <f>D58*E58</f>
        <v>5036</v>
      </c>
      <c r="G58" s="250" t="s">
        <v>241</v>
      </c>
      <c r="H58" s="295">
        <v>111602</v>
      </c>
      <c r="I58" s="286"/>
    </row>
    <row r="59" spans="2:9" ht="12.75" hidden="1">
      <c r="B59" s="260"/>
      <c r="E59" s="51"/>
      <c r="F59" s="52">
        <f>SUM(F57:F58)</f>
        <v>6288.15</v>
      </c>
      <c r="H59" s="286"/>
      <c r="I59" s="286"/>
    </row>
    <row r="60" spans="2:9" ht="12.75" hidden="1">
      <c r="B60" s="260" t="s">
        <v>224</v>
      </c>
      <c r="E60" s="51"/>
      <c r="F60" s="52">
        <f>ROUND(F59/100,2)</f>
        <v>62.88</v>
      </c>
      <c r="H60" s="286"/>
      <c r="I60" s="286"/>
    </row>
    <row r="61" spans="2:9" ht="12.75" hidden="1">
      <c r="B61" s="1"/>
      <c r="E61" s="51"/>
      <c r="F61" s="51"/>
      <c r="H61" s="286"/>
      <c r="I61" s="286"/>
    </row>
    <row r="62" spans="1:9" ht="12.75" customHeight="1" hidden="1">
      <c r="A62" s="549" t="s">
        <v>249</v>
      </c>
      <c r="B62" s="15" t="s">
        <v>252</v>
      </c>
      <c r="C62" s="4" t="s">
        <v>66</v>
      </c>
      <c r="D62" s="4" t="s">
        <v>80</v>
      </c>
      <c r="E62" s="52" t="s">
        <v>209</v>
      </c>
      <c r="F62" s="52" t="s">
        <v>63</v>
      </c>
      <c r="G62" s="4" t="s">
        <v>212</v>
      </c>
      <c r="H62" s="293" t="s">
        <v>175</v>
      </c>
      <c r="I62" s="286"/>
    </row>
    <row r="63" spans="1:9" ht="25.5" hidden="1">
      <c r="A63" s="549"/>
      <c r="B63" s="265" t="s">
        <v>196</v>
      </c>
      <c r="C63" s="250" t="s">
        <v>69</v>
      </c>
      <c r="D63">
        <v>2.08</v>
      </c>
      <c r="E63">
        <v>46.56</v>
      </c>
      <c r="F63" s="51">
        <f>D63*E63</f>
        <v>96.8448</v>
      </c>
      <c r="G63" s="250" t="s">
        <v>246</v>
      </c>
      <c r="H63" s="295">
        <v>140421</v>
      </c>
      <c r="I63" s="286"/>
    </row>
    <row r="64" spans="1:9" ht="25.5" hidden="1">
      <c r="A64" s="549"/>
      <c r="B64" s="260" t="s">
        <v>245</v>
      </c>
      <c r="C64" s="250" t="s">
        <v>69</v>
      </c>
      <c r="D64">
        <v>1.02</v>
      </c>
      <c r="E64" s="51">
        <v>62.88</v>
      </c>
      <c r="F64" s="51">
        <f>D64*E64</f>
        <v>64.1376</v>
      </c>
      <c r="G64" t="s">
        <v>246</v>
      </c>
      <c r="H64" s="295">
        <v>110110</v>
      </c>
      <c r="I64" s="286"/>
    </row>
    <row r="65" spans="1:9" ht="12.75" hidden="1">
      <c r="A65" s="553" t="s">
        <v>251</v>
      </c>
      <c r="B65" s="554"/>
      <c r="C65" s="554"/>
      <c r="D65" s="554"/>
      <c r="E65" s="554"/>
      <c r="F65" s="52">
        <f>ROUND(SUM(F63:F64),2)</f>
        <v>160.98</v>
      </c>
      <c r="H65" s="286"/>
      <c r="I65" s="286"/>
    </row>
    <row r="66" spans="1:9" ht="12.75" hidden="1">
      <c r="A66" s="264"/>
      <c r="B66" s="260"/>
      <c r="C66" s="250"/>
      <c r="E66" s="51"/>
      <c r="F66" s="51"/>
      <c r="H66" s="286"/>
      <c r="I66" s="286"/>
    </row>
    <row r="67" spans="1:9" ht="12.75" customHeight="1" hidden="1">
      <c r="A67" s="549" t="s">
        <v>248</v>
      </c>
      <c r="B67" s="15" t="s">
        <v>252</v>
      </c>
      <c r="C67" s="4" t="s">
        <v>66</v>
      </c>
      <c r="D67" s="4" t="s">
        <v>80</v>
      </c>
      <c r="E67" s="52" t="s">
        <v>209</v>
      </c>
      <c r="F67" s="52" t="s">
        <v>63</v>
      </c>
      <c r="G67" s="4" t="s">
        <v>212</v>
      </c>
      <c r="H67" s="293" t="s">
        <v>175</v>
      </c>
      <c r="I67" s="286"/>
    </row>
    <row r="68" spans="1:9" ht="25.5" hidden="1">
      <c r="A68" s="549"/>
      <c r="B68" s="265" t="s">
        <v>196</v>
      </c>
      <c r="C68" s="250" t="s">
        <v>69</v>
      </c>
      <c r="D68">
        <v>2.44</v>
      </c>
      <c r="E68">
        <v>46.56</v>
      </c>
      <c r="F68" s="51">
        <f>D68*E68</f>
        <v>113.60640000000001</v>
      </c>
      <c r="G68" s="250" t="s">
        <v>246</v>
      </c>
      <c r="H68" s="295">
        <v>140421</v>
      </c>
      <c r="I68" s="286"/>
    </row>
    <row r="69" spans="1:9" ht="25.5" hidden="1">
      <c r="A69" s="549"/>
      <c r="B69" s="260" t="s">
        <v>245</v>
      </c>
      <c r="C69" s="250" t="s">
        <v>69</v>
      </c>
      <c r="D69">
        <v>1.32</v>
      </c>
      <c r="E69" s="51">
        <v>62.88</v>
      </c>
      <c r="F69" s="51">
        <f>D69*E69</f>
        <v>83.00160000000001</v>
      </c>
      <c r="G69" t="s">
        <v>246</v>
      </c>
      <c r="H69" s="295">
        <v>110110</v>
      </c>
      <c r="I69" s="286"/>
    </row>
    <row r="70" spans="1:9" ht="12.75" hidden="1">
      <c r="A70" s="553" t="s">
        <v>251</v>
      </c>
      <c r="B70" s="554"/>
      <c r="C70" s="554"/>
      <c r="D70" s="554"/>
      <c r="E70" s="554"/>
      <c r="F70" s="52">
        <f>ROUND(SUM(F68:F69),2)</f>
        <v>196.61</v>
      </c>
      <c r="H70" s="286"/>
      <c r="I70" s="286"/>
    </row>
    <row r="71" spans="1:9" ht="12.75" hidden="1">
      <c r="A71" s="264"/>
      <c r="B71" s="260"/>
      <c r="C71" s="250"/>
      <c r="E71" s="51"/>
      <c r="F71" s="51"/>
      <c r="H71" s="286"/>
      <c r="I71" s="286"/>
    </row>
    <row r="72" spans="1:9" ht="12.75" customHeight="1" hidden="1">
      <c r="A72" s="549" t="s">
        <v>247</v>
      </c>
      <c r="B72" s="15" t="s">
        <v>252</v>
      </c>
      <c r="C72" s="4" t="s">
        <v>66</v>
      </c>
      <c r="D72" s="4" t="s">
        <v>80</v>
      </c>
      <c r="E72" s="52" t="s">
        <v>209</v>
      </c>
      <c r="F72" s="52" t="s">
        <v>63</v>
      </c>
      <c r="G72" s="4" t="s">
        <v>212</v>
      </c>
      <c r="H72" s="293" t="s">
        <v>175</v>
      </c>
      <c r="I72" s="286"/>
    </row>
    <row r="73" spans="1:9" ht="25.5" hidden="1">
      <c r="A73" s="549"/>
      <c r="B73" s="265" t="s">
        <v>196</v>
      </c>
      <c r="C73" s="250" t="s">
        <v>69</v>
      </c>
      <c r="D73">
        <v>3.68</v>
      </c>
      <c r="E73">
        <v>46.56</v>
      </c>
      <c r="F73" s="51">
        <f>D73*E73</f>
        <v>171.34080000000003</v>
      </c>
      <c r="G73" s="250" t="s">
        <v>246</v>
      </c>
      <c r="H73" s="295">
        <v>140421</v>
      </c>
      <c r="I73" s="286"/>
    </row>
    <row r="74" spans="1:9" ht="25.5" hidden="1">
      <c r="A74" s="549"/>
      <c r="B74" s="260" t="s">
        <v>245</v>
      </c>
      <c r="C74" s="250" t="s">
        <v>69</v>
      </c>
      <c r="D74">
        <v>2.08</v>
      </c>
      <c r="E74" s="51">
        <v>62.88</v>
      </c>
      <c r="F74" s="51">
        <f>D74*E74</f>
        <v>130.7904</v>
      </c>
      <c r="G74" t="s">
        <v>246</v>
      </c>
      <c r="H74" s="295">
        <v>110110</v>
      </c>
      <c r="I74" s="286"/>
    </row>
    <row r="75" spans="1:9" ht="12.75" hidden="1">
      <c r="A75" s="553" t="s">
        <v>251</v>
      </c>
      <c r="B75" s="554"/>
      <c r="C75" s="554"/>
      <c r="D75" s="554"/>
      <c r="E75" s="554"/>
      <c r="F75" s="52">
        <f>ROUND(SUM(F73:F74),2)</f>
        <v>302.13</v>
      </c>
      <c r="H75" s="286"/>
      <c r="I75" s="286"/>
    </row>
    <row r="76" spans="1:9" ht="12.75" hidden="1">
      <c r="A76" s="266"/>
      <c r="B76" s="267"/>
      <c r="C76" s="267"/>
      <c r="D76" s="267"/>
      <c r="E76" s="267"/>
      <c r="F76" s="52"/>
      <c r="H76" s="286"/>
      <c r="I76" s="286"/>
    </row>
    <row r="77" spans="1:9" ht="12.75" customHeight="1" hidden="1">
      <c r="A77" s="549" t="s">
        <v>307</v>
      </c>
      <c r="B77" s="15" t="s">
        <v>252</v>
      </c>
      <c r="C77" s="4" t="s">
        <v>66</v>
      </c>
      <c r="D77" s="4" t="s">
        <v>80</v>
      </c>
      <c r="E77" s="52" t="s">
        <v>209</v>
      </c>
      <c r="F77" s="52" t="s">
        <v>63</v>
      </c>
      <c r="G77" s="4" t="s">
        <v>212</v>
      </c>
      <c r="H77" s="286"/>
      <c r="I77" s="286"/>
    </row>
    <row r="78" spans="1:9" ht="25.5" hidden="1">
      <c r="A78" s="549"/>
      <c r="B78" s="265" t="s">
        <v>196</v>
      </c>
      <c r="C78" s="250" t="s">
        <v>69</v>
      </c>
      <c r="D78">
        <v>5.9</v>
      </c>
      <c r="E78">
        <v>46.56</v>
      </c>
      <c r="F78" s="51">
        <f>D78*E78</f>
        <v>274.704</v>
      </c>
      <c r="G78" s="250" t="s">
        <v>246</v>
      </c>
      <c r="H78" s="295">
        <v>140421</v>
      </c>
      <c r="I78" s="286"/>
    </row>
    <row r="79" spans="1:9" ht="25.5" hidden="1">
      <c r="A79" s="549"/>
      <c r="B79" s="260" t="s">
        <v>245</v>
      </c>
      <c r="C79" s="250" t="s">
        <v>69</v>
      </c>
      <c r="D79">
        <v>2.08</v>
      </c>
      <c r="E79" s="51">
        <v>62.88</v>
      </c>
      <c r="F79" s="51">
        <f>D79*E79</f>
        <v>130.7904</v>
      </c>
      <c r="G79" t="s">
        <v>246</v>
      </c>
      <c r="H79" s="295">
        <v>110110</v>
      </c>
      <c r="I79" s="286"/>
    </row>
    <row r="80" spans="1:9" ht="12.75" hidden="1">
      <c r="A80" s="553" t="s">
        <v>251</v>
      </c>
      <c r="B80" s="554"/>
      <c r="C80" s="554"/>
      <c r="D80" s="554"/>
      <c r="E80" s="554"/>
      <c r="F80" s="52">
        <f>ROUND(SUM(F78:F79),2)</f>
        <v>405.49</v>
      </c>
      <c r="H80" s="286"/>
      <c r="I80" s="286"/>
    </row>
    <row r="81" spans="1:10" ht="12.75" hidden="1">
      <c r="A81" s="266"/>
      <c r="B81" s="267"/>
      <c r="C81" s="267"/>
      <c r="D81" s="267"/>
      <c r="E81" s="267"/>
      <c r="F81" s="52"/>
      <c r="H81" s="286"/>
      <c r="I81" s="286"/>
      <c r="J81" s="94"/>
    </row>
    <row r="82" spans="1:9" ht="38.25" customHeight="1" hidden="1">
      <c r="A82" s="555" t="s">
        <v>376</v>
      </c>
      <c r="B82" s="18" t="s">
        <v>252</v>
      </c>
      <c r="C82" s="12" t="s">
        <v>66</v>
      </c>
      <c r="D82" s="12" t="s">
        <v>80</v>
      </c>
      <c r="E82" s="86" t="s">
        <v>209</v>
      </c>
      <c r="F82" s="87" t="s">
        <v>310</v>
      </c>
      <c r="G82" s="52" t="s">
        <v>63</v>
      </c>
      <c r="H82" s="293" t="s">
        <v>212</v>
      </c>
      <c r="I82" s="296" t="s">
        <v>327</v>
      </c>
    </row>
    <row r="83" spans="1:9" ht="12.75" hidden="1">
      <c r="A83" s="556"/>
      <c r="B83" s="260" t="s">
        <v>377</v>
      </c>
      <c r="C83" s="250" t="s">
        <v>68</v>
      </c>
      <c r="D83">
        <v>10</v>
      </c>
      <c r="E83" s="51">
        <v>33</v>
      </c>
      <c r="F83" s="52"/>
      <c r="G83" s="81">
        <f>D83*E83</f>
        <v>330</v>
      </c>
      <c r="H83" s="297" t="s">
        <v>253</v>
      </c>
      <c r="I83" s="298">
        <v>4746</v>
      </c>
    </row>
    <row r="84" spans="1:9" ht="12.75" hidden="1">
      <c r="A84" s="556"/>
      <c r="B84" s="260" t="s">
        <v>378</v>
      </c>
      <c r="C84" s="250" t="s">
        <v>68</v>
      </c>
      <c r="D84">
        <f>10*3</f>
        <v>30</v>
      </c>
      <c r="E84" s="51">
        <v>5.34</v>
      </c>
      <c r="F84" s="52"/>
      <c r="G84" s="81">
        <f>D84*E84</f>
        <v>160.2</v>
      </c>
      <c r="H84" s="297" t="s">
        <v>370</v>
      </c>
      <c r="I84" s="297" t="s">
        <v>268</v>
      </c>
    </row>
    <row r="85" spans="1:9" ht="25.5" hidden="1">
      <c r="A85" s="556"/>
      <c r="B85" s="260" t="s">
        <v>338</v>
      </c>
      <c r="C85" s="252" t="s">
        <v>326</v>
      </c>
      <c r="D85" s="250">
        <f>1.25*3</f>
        <v>3.75</v>
      </c>
      <c r="E85" s="249">
        <v>2.81</v>
      </c>
      <c r="F85" s="52">
        <v>30</v>
      </c>
      <c r="G85" s="253">
        <f>D85*E85*F85</f>
        <v>316.125</v>
      </c>
      <c r="H85" s="297" t="s">
        <v>370</v>
      </c>
      <c r="I85" s="297" t="s">
        <v>321</v>
      </c>
    </row>
    <row r="86" spans="1:10" ht="38.25" hidden="1">
      <c r="A86" s="556"/>
      <c r="B86" s="260" t="s">
        <v>323</v>
      </c>
      <c r="C86" s="250" t="s">
        <v>254</v>
      </c>
      <c r="D86">
        <f>0.072*3</f>
        <v>0.21599999999999997</v>
      </c>
      <c r="E86" s="51">
        <v>192.16</v>
      </c>
      <c r="F86" s="52"/>
      <c r="G86" s="81">
        <f>D86*E86</f>
        <v>41.50655999999999</v>
      </c>
      <c r="H86" s="297" t="s">
        <v>370</v>
      </c>
      <c r="I86" s="297" t="s">
        <v>320</v>
      </c>
      <c r="J86" s="14"/>
    </row>
    <row r="87" spans="1:10" ht="25.5" hidden="1">
      <c r="A87" s="264" t="s">
        <v>308</v>
      </c>
      <c r="B87" s="260" t="s">
        <v>255</v>
      </c>
      <c r="C87" s="250" t="s">
        <v>254</v>
      </c>
      <c r="D87">
        <f>0.05*3</f>
        <v>0.15000000000000002</v>
      </c>
      <c r="E87" s="51">
        <v>135.19</v>
      </c>
      <c r="F87" s="52"/>
      <c r="G87" s="81">
        <f>D87*E87</f>
        <v>20.2785</v>
      </c>
      <c r="H87" s="297" t="s">
        <v>370</v>
      </c>
      <c r="I87" s="297" t="s">
        <v>319</v>
      </c>
      <c r="J87" s="14"/>
    </row>
    <row r="88" spans="1:9" ht="12.75" hidden="1">
      <c r="A88" s="557" t="s">
        <v>256</v>
      </c>
      <c r="B88" s="557"/>
      <c r="C88" s="557"/>
      <c r="D88" s="557"/>
      <c r="E88" s="557"/>
      <c r="F88" s="557"/>
      <c r="G88" s="88">
        <f>SUM(G83:G87)</f>
        <v>868.1100600000001</v>
      </c>
      <c r="H88" s="297"/>
      <c r="I88" s="286"/>
    </row>
    <row r="89" spans="1:9" ht="12.75" hidden="1">
      <c r="A89" s="557" t="s">
        <v>145</v>
      </c>
      <c r="B89" s="557"/>
      <c r="C89" s="557"/>
      <c r="D89" s="557"/>
      <c r="E89" s="557"/>
      <c r="F89" s="557"/>
      <c r="G89" s="89">
        <f>ROUND(G88/10,2)</f>
        <v>86.81</v>
      </c>
      <c r="H89" s="286"/>
      <c r="I89" s="286"/>
    </row>
    <row r="90" spans="1:9" ht="12.75">
      <c r="A90" s="263"/>
      <c r="B90" s="259"/>
      <c r="C90" s="259"/>
      <c r="D90" s="259"/>
      <c r="E90" s="259"/>
      <c r="H90" s="286"/>
      <c r="I90" s="286"/>
    </row>
    <row r="91" spans="1:9" ht="38.25" customHeight="1">
      <c r="A91" s="557" t="s">
        <v>258</v>
      </c>
      <c r="B91" s="18" t="s">
        <v>252</v>
      </c>
      <c r="C91" s="12" t="s">
        <v>66</v>
      </c>
      <c r="D91" s="12" t="s">
        <v>324</v>
      </c>
      <c r="E91" s="86" t="s">
        <v>209</v>
      </c>
      <c r="F91" s="87" t="s">
        <v>310</v>
      </c>
      <c r="G91" s="254" t="s">
        <v>63</v>
      </c>
      <c r="H91" s="299" t="s">
        <v>212</v>
      </c>
      <c r="I91" s="296" t="s">
        <v>327</v>
      </c>
    </row>
    <row r="92" spans="1:10" ht="12.75">
      <c r="A92" s="562"/>
      <c r="B92" s="260" t="s">
        <v>257</v>
      </c>
      <c r="C92" s="252" t="s">
        <v>68</v>
      </c>
      <c r="D92" s="259">
        <v>5</v>
      </c>
      <c r="E92" s="268">
        <v>52.23</v>
      </c>
      <c r="F92" s="249"/>
      <c r="G92" s="253">
        <f>D92*E92</f>
        <v>261.15</v>
      </c>
      <c r="H92" s="297" t="s">
        <v>218</v>
      </c>
      <c r="I92" s="298">
        <v>4748</v>
      </c>
      <c r="J92" s="88"/>
    </row>
    <row r="93" spans="1:10" ht="25.5">
      <c r="A93" s="562"/>
      <c r="B93" s="260" t="s">
        <v>322</v>
      </c>
      <c r="C93" s="252" t="s">
        <v>326</v>
      </c>
      <c r="D93" s="252">
        <v>0.625</v>
      </c>
      <c r="E93" s="249">
        <v>3.42</v>
      </c>
      <c r="F93" s="249">
        <v>120</v>
      </c>
      <c r="G93" s="253">
        <f>D93*E93*F93</f>
        <v>256.5</v>
      </c>
      <c r="H93" s="300" t="s">
        <v>379</v>
      </c>
      <c r="I93" s="297" t="s">
        <v>321</v>
      </c>
      <c r="J93" s="88"/>
    </row>
    <row r="94" spans="1:9" ht="25.5">
      <c r="A94" s="562"/>
      <c r="B94" s="260" t="s">
        <v>261</v>
      </c>
      <c r="C94" s="252" t="s">
        <v>69</v>
      </c>
      <c r="D94" s="259">
        <v>0.33</v>
      </c>
      <c r="E94" s="252">
        <v>106.85</v>
      </c>
      <c r="F94" s="51"/>
      <c r="G94" s="81">
        <f>D94*E94</f>
        <v>35.2605</v>
      </c>
      <c r="H94" s="297" t="s">
        <v>370</v>
      </c>
      <c r="I94" s="297" t="s">
        <v>325</v>
      </c>
    </row>
    <row r="95" spans="1:9" ht="25.5">
      <c r="A95" s="263" t="s">
        <v>309</v>
      </c>
      <c r="B95" s="260" t="s">
        <v>262</v>
      </c>
      <c r="C95" s="250" t="s">
        <v>254</v>
      </c>
      <c r="D95">
        <v>0.072</v>
      </c>
      <c r="E95" s="249">
        <v>214.3</v>
      </c>
      <c r="F95" s="51"/>
      <c r="G95" s="81">
        <f>D95*E95</f>
        <v>15.429599999999999</v>
      </c>
      <c r="H95" s="297" t="s">
        <v>370</v>
      </c>
      <c r="I95" s="297" t="s">
        <v>320</v>
      </c>
    </row>
    <row r="96" spans="1:9" ht="25.5">
      <c r="A96" s="263"/>
      <c r="B96" s="260" t="s">
        <v>255</v>
      </c>
      <c r="C96" s="250" t="s">
        <v>254</v>
      </c>
      <c r="D96">
        <v>0.05</v>
      </c>
      <c r="E96" s="249">
        <v>152.22</v>
      </c>
      <c r="F96" s="51"/>
      <c r="G96" s="81">
        <f>D96*E96</f>
        <v>7.611000000000001</v>
      </c>
      <c r="H96" s="297" t="s">
        <v>370</v>
      </c>
      <c r="I96" s="297" t="s">
        <v>319</v>
      </c>
    </row>
    <row r="97" spans="1:9" ht="12.75">
      <c r="A97" s="557" t="s">
        <v>256</v>
      </c>
      <c r="B97" s="558"/>
      <c r="C97" s="558"/>
      <c r="D97" s="558"/>
      <c r="E97" s="558"/>
      <c r="F97" s="51"/>
      <c r="G97" s="81">
        <f>ROUND(SUM(G92:G96),2)</f>
        <v>575.95</v>
      </c>
      <c r="H97" s="297"/>
      <c r="I97" s="286"/>
    </row>
    <row r="98" spans="1:9" ht="12.75">
      <c r="A98" s="557" t="s">
        <v>145</v>
      </c>
      <c r="B98" s="558"/>
      <c r="C98" s="558"/>
      <c r="D98" s="558"/>
      <c r="E98" s="558"/>
      <c r="F98" s="85"/>
      <c r="G98" s="89">
        <f>G97/10</f>
        <v>57.595000000000006</v>
      </c>
      <c r="H98" s="297"/>
      <c r="I98" s="286"/>
    </row>
    <row r="99" spans="1:9" ht="12.75">
      <c r="A99" s="263"/>
      <c r="B99" s="276" t="s">
        <v>49</v>
      </c>
      <c r="C99" s="276" t="s">
        <v>50</v>
      </c>
      <c r="D99" s="276" t="s">
        <v>51</v>
      </c>
      <c r="E99" s="276"/>
      <c r="F99" s="85"/>
      <c r="G99" s="89"/>
      <c r="H99" s="297"/>
      <c r="I99" s="286"/>
    </row>
    <row r="100" spans="1:9" ht="12.75">
      <c r="A100" s="263"/>
      <c r="B100" s="276" t="s">
        <v>52</v>
      </c>
      <c r="C100" s="276">
        <v>52.23</v>
      </c>
      <c r="D100" s="277">
        <v>0.22</v>
      </c>
      <c r="E100" s="276">
        <f>C100*1.22</f>
        <v>63.7206</v>
      </c>
      <c r="F100" s="85"/>
      <c r="G100" s="89"/>
      <c r="H100" s="297"/>
      <c r="I100" s="286"/>
    </row>
    <row r="101" spans="1:9" ht="12.75">
      <c r="A101" s="263"/>
      <c r="B101" s="259"/>
      <c r="C101" s="259"/>
      <c r="D101" s="259"/>
      <c r="E101" s="259"/>
      <c r="F101" s="85"/>
      <c r="G101" s="89"/>
      <c r="H101" s="297"/>
      <c r="I101" s="286"/>
    </row>
    <row r="102" spans="1:9" ht="12.75" hidden="1">
      <c r="A102" s="560" t="s">
        <v>380</v>
      </c>
      <c r="B102" s="15" t="s">
        <v>252</v>
      </c>
      <c r="C102" s="4" t="s">
        <v>66</v>
      </c>
      <c r="D102" s="4" t="s">
        <v>80</v>
      </c>
      <c r="E102" s="52" t="s">
        <v>209</v>
      </c>
      <c r="F102" s="4" t="s">
        <v>63</v>
      </c>
      <c r="G102" s="4" t="s">
        <v>212</v>
      </c>
      <c r="H102" s="286"/>
      <c r="I102" s="286"/>
    </row>
    <row r="103" spans="1:9" ht="12.75" hidden="1">
      <c r="A103" s="561"/>
      <c r="B103" s="260" t="s">
        <v>381</v>
      </c>
      <c r="C103" s="250" t="s">
        <v>104</v>
      </c>
      <c r="D103">
        <v>400</v>
      </c>
      <c r="E103" s="250">
        <v>2.35</v>
      </c>
      <c r="F103" s="51">
        <f>D103*E103</f>
        <v>940</v>
      </c>
      <c r="G103" s="250" t="s">
        <v>216</v>
      </c>
      <c r="H103" s="286"/>
      <c r="I103" s="286"/>
    </row>
    <row r="104" spans="1:9" ht="12.75" hidden="1">
      <c r="A104" s="561"/>
      <c r="B104" s="260" t="s">
        <v>222</v>
      </c>
      <c r="C104" s="250" t="s">
        <v>69</v>
      </c>
      <c r="D104">
        <v>100</v>
      </c>
      <c r="E104" s="249">
        <v>5.99</v>
      </c>
      <c r="F104" s="51">
        <f>D104*E104</f>
        <v>599</v>
      </c>
      <c r="G104" s="250" t="s">
        <v>216</v>
      </c>
      <c r="H104" s="286"/>
      <c r="I104" s="286"/>
    </row>
    <row r="105" spans="1:9" ht="12.75" hidden="1">
      <c r="A105" s="561"/>
      <c r="B105" s="260" t="s">
        <v>235</v>
      </c>
      <c r="C105" t="s">
        <v>68</v>
      </c>
      <c r="D105">
        <v>10</v>
      </c>
      <c r="E105" s="51">
        <v>513.85</v>
      </c>
      <c r="F105" s="51">
        <f>D105*E105</f>
        <v>5138.5</v>
      </c>
      <c r="G105" s="250" t="s">
        <v>382</v>
      </c>
      <c r="H105" s="286" t="s">
        <v>383</v>
      </c>
      <c r="I105" s="286"/>
    </row>
    <row r="106" spans="1:9" ht="12.75" hidden="1">
      <c r="A106" s="561"/>
      <c r="B106" s="1" t="s">
        <v>210</v>
      </c>
      <c r="C106" s="250" t="s">
        <v>69</v>
      </c>
      <c r="D106">
        <v>100</v>
      </c>
      <c r="E106" s="51">
        <v>55.17</v>
      </c>
      <c r="F106" s="51">
        <f>D106*E106</f>
        <v>5517</v>
      </c>
      <c r="G106" s="250" t="s">
        <v>384</v>
      </c>
      <c r="H106" s="286">
        <v>11602</v>
      </c>
      <c r="I106" s="286"/>
    </row>
    <row r="107" spans="1:9" ht="12.75" hidden="1">
      <c r="A107" s="1"/>
      <c r="B107" s="1"/>
      <c r="E107" s="52"/>
      <c r="F107" s="51">
        <f>SUM(F103:F106)</f>
        <v>12194.5</v>
      </c>
      <c r="H107" s="286"/>
      <c r="I107" s="286"/>
    </row>
    <row r="108" spans="2:9" ht="12.75" hidden="1">
      <c r="B108" s="15" t="s">
        <v>224</v>
      </c>
      <c r="E108" s="51"/>
      <c r="F108" s="52">
        <f>ROUND(F107/100,2)</f>
        <v>121.95</v>
      </c>
      <c r="H108" s="286"/>
      <c r="I108" s="286"/>
    </row>
    <row r="109" spans="2:9" ht="12.75" hidden="1">
      <c r="B109" s="260"/>
      <c r="E109" s="51"/>
      <c r="H109" s="286"/>
      <c r="I109" s="286"/>
    </row>
    <row r="110" spans="1:9" ht="12.75" hidden="1">
      <c r="A110" s="555" t="s">
        <v>385</v>
      </c>
      <c r="B110" s="15" t="s">
        <v>252</v>
      </c>
      <c r="C110" s="4" t="s">
        <v>66</v>
      </c>
      <c r="D110" s="4" t="s">
        <v>80</v>
      </c>
      <c r="E110" s="52" t="s">
        <v>209</v>
      </c>
      <c r="F110" s="52" t="s">
        <v>63</v>
      </c>
      <c r="G110" s="4" t="s">
        <v>212</v>
      </c>
      <c r="H110" s="286"/>
      <c r="I110" s="286"/>
    </row>
    <row r="111" spans="1:9" ht="12.75" hidden="1">
      <c r="A111" s="556"/>
      <c r="B111" s="260" t="s">
        <v>386</v>
      </c>
      <c r="C111" s="250" t="s">
        <v>68</v>
      </c>
      <c r="D111">
        <v>10</v>
      </c>
      <c r="E111" s="51">
        <v>64.23</v>
      </c>
      <c r="F111" s="51">
        <f>D111*E111</f>
        <v>642.3000000000001</v>
      </c>
      <c r="G111" s="250" t="s">
        <v>387</v>
      </c>
      <c r="H111" s="286"/>
      <c r="I111" s="286"/>
    </row>
    <row r="112" spans="1:9" ht="12.75" hidden="1">
      <c r="A112" s="556"/>
      <c r="B112" s="260" t="s">
        <v>388</v>
      </c>
      <c r="C112" s="250" t="s">
        <v>68</v>
      </c>
      <c r="D112">
        <v>0</v>
      </c>
      <c r="E112" s="51">
        <v>0</v>
      </c>
      <c r="F112" s="51">
        <f>D112*E112</f>
        <v>0</v>
      </c>
      <c r="G112" t="s">
        <v>389</v>
      </c>
      <c r="H112" s="286"/>
      <c r="I112" s="286"/>
    </row>
    <row r="113" spans="1:12" ht="12.75" hidden="1">
      <c r="A113" s="556"/>
      <c r="B113" s="260" t="s">
        <v>390</v>
      </c>
      <c r="C113" s="250" t="s">
        <v>142</v>
      </c>
      <c r="D113">
        <v>10</v>
      </c>
      <c r="E113" s="51">
        <v>1.03</v>
      </c>
      <c r="F113" s="51">
        <f>D113*E113*20</f>
        <v>206</v>
      </c>
      <c r="G113" t="s">
        <v>389</v>
      </c>
      <c r="H113" s="286" t="s">
        <v>391</v>
      </c>
      <c r="I113" s="301">
        <v>42277</v>
      </c>
      <c r="L113" s="51"/>
    </row>
    <row r="114" spans="1:9" ht="15.75" customHeight="1" hidden="1">
      <c r="A114" s="556"/>
      <c r="B114" s="260" t="s">
        <v>392</v>
      </c>
      <c r="C114" s="250" t="s">
        <v>254</v>
      </c>
      <c r="D114">
        <v>0.072</v>
      </c>
      <c r="E114" s="51">
        <v>198.41</v>
      </c>
      <c r="F114" s="51">
        <f>D114*E114</f>
        <v>14.285519999999998</v>
      </c>
      <c r="G114" t="s">
        <v>389</v>
      </c>
      <c r="H114" s="286" t="s">
        <v>393</v>
      </c>
      <c r="I114" s="301">
        <v>42277</v>
      </c>
    </row>
    <row r="115" spans="1:9" ht="12.75" hidden="1">
      <c r="A115" s="557" t="s">
        <v>256</v>
      </c>
      <c r="B115" s="558"/>
      <c r="C115" s="558"/>
      <c r="D115" s="558"/>
      <c r="E115" s="558"/>
      <c r="F115" s="51">
        <f>ROUND(SUM(F111:F114),2)</f>
        <v>862.59</v>
      </c>
      <c r="H115" s="286"/>
      <c r="I115" s="286"/>
    </row>
    <row r="116" spans="1:9" ht="12.75" hidden="1">
      <c r="A116" s="557" t="s">
        <v>145</v>
      </c>
      <c r="B116" s="558"/>
      <c r="C116" s="558"/>
      <c r="D116" s="558"/>
      <c r="E116" s="558"/>
      <c r="F116" s="4">
        <v>60.5</v>
      </c>
      <c r="H116" s="286"/>
      <c r="I116" s="286"/>
    </row>
    <row r="117" spans="2:9" ht="12.75" hidden="1">
      <c r="B117" s="260"/>
      <c r="E117" s="51"/>
      <c r="H117" s="286"/>
      <c r="I117" s="286"/>
    </row>
    <row r="118" spans="1:9" ht="12.75" hidden="1">
      <c r="A118" s="4" t="s">
        <v>263</v>
      </c>
      <c r="B118" s="260"/>
      <c r="E118" s="51"/>
      <c r="H118" s="302"/>
      <c r="I118" s="286"/>
    </row>
    <row r="119" spans="1:9" ht="12.75" hidden="1">
      <c r="A119" s="250" t="s">
        <v>218</v>
      </c>
      <c r="B119" s="260"/>
      <c r="E119" s="51"/>
      <c r="H119" s="286"/>
      <c r="I119" s="286"/>
    </row>
    <row r="120" spans="1:9" ht="12.75" hidden="1">
      <c r="A120" t="s">
        <v>168</v>
      </c>
      <c r="B120" s="1"/>
      <c r="E120" s="51"/>
      <c r="H120" s="286"/>
      <c r="I120" s="286"/>
    </row>
    <row r="121" spans="1:9" ht="12.75" hidden="1">
      <c r="A121" s="250" t="s">
        <v>169</v>
      </c>
      <c r="B121" s="1"/>
      <c r="E121" s="51"/>
      <c r="H121" s="286"/>
      <c r="I121" s="286"/>
    </row>
    <row r="122" spans="1:9" ht="12.75" hidden="1">
      <c r="A122" t="s">
        <v>170</v>
      </c>
      <c r="B122" s="1"/>
      <c r="H122" s="286"/>
      <c r="I122" s="286"/>
    </row>
    <row r="123" spans="1:9" ht="12.75" hidden="1">
      <c r="A123" s="250" t="s">
        <v>171</v>
      </c>
      <c r="H123" s="286"/>
      <c r="I123" s="286"/>
    </row>
    <row r="124" spans="1:9" ht="15.75" customHeight="1" hidden="1">
      <c r="A124" s="250" t="s">
        <v>172</v>
      </c>
      <c r="H124" s="286"/>
      <c r="I124" s="286"/>
    </row>
    <row r="125" spans="1:9" ht="12.75" hidden="1">
      <c r="A125" t="s">
        <v>173</v>
      </c>
      <c r="H125" s="286"/>
      <c r="I125" s="286"/>
    </row>
    <row r="126" spans="8:9" ht="12.75" hidden="1">
      <c r="H126" s="286"/>
      <c r="I126" s="286"/>
    </row>
    <row r="127" spans="1:9" ht="12.75" hidden="1">
      <c r="A127" s="4" t="s">
        <v>214</v>
      </c>
      <c r="H127" s="286"/>
      <c r="I127" s="286"/>
    </row>
    <row r="128" spans="1:9" ht="15.75" hidden="1">
      <c r="A128" s="551" t="s">
        <v>174</v>
      </c>
      <c r="B128" s="551"/>
      <c r="H128" s="286"/>
      <c r="I128" s="286"/>
    </row>
    <row r="129" spans="8:9" ht="12.75" hidden="1">
      <c r="H129" s="286"/>
      <c r="I129" s="286"/>
    </row>
    <row r="130" spans="1:9" ht="12.75" hidden="1">
      <c r="A130" s="53" t="s">
        <v>175</v>
      </c>
      <c r="B130" s="53" t="s">
        <v>176</v>
      </c>
      <c r="C130" s="53" t="s">
        <v>66</v>
      </c>
      <c r="D130" s="53" t="s">
        <v>84</v>
      </c>
      <c r="E130" s="53" t="s">
        <v>177</v>
      </c>
      <c r="F130" s="53" t="s">
        <v>65</v>
      </c>
      <c r="G130" s="53" t="s">
        <v>178</v>
      </c>
      <c r="H130" s="303" t="s">
        <v>179</v>
      </c>
      <c r="I130" s="286"/>
    </row>
    <row r="131" spans="1:9" ht="38.25" hidden="1">
      <c r="A131" s="255">
        <v>111602</v>
      </c>
      <c r="B131" s="256" t="s">
        <v>180</v>
      </c>
      <c r="C131" s="255" t="s">
        <v>181</v>
      </c>
      <c r="D131" s="257">
        <v>0</v>
      </c>
      <c r="E131" s="257">
        <v>50.36</v>
      </c>
      <c r="F131" s="257">
        <v>50.36</v>
      </c>
      <c r="G131" s="54"/>
      <c r="H131" s="304"/>
      <c r="I131" s="286"/>
    </row>
    <row r="132" spans="1:9" ht="25.5" hidden="1">
      <c r="A132" s="263">
        <v>111604</v>
      </c>
      <c r="B132" s="265" t="s">
        <v>182</v>
      </c>
      <c r="C132" s="263" t="s">
        <v>181</v>
      </c>
      <c r="D132" s="258">
        <v>0</v>
      </c>
      <c r="E132" s="258">
        <v>100.72</v>
      </c>
      <c r="F132" s="258">
        <v>100.72</v>
      </c>
      <c r="G132" s="55"/>
      <c r="H132" s="304"/>
      <c r="I132" s="286"/>
    </row>
    <row r="133" spans="1:9" ht="15.75" customHeight="1" hidden="1">
      <c r="A133" s="255">
        <v>111606</v>
      </c>
      <c r="B133" s="256" t="s">
        <v>183</v>
      </c>
      <c r="C133" s="255" t="s">
        <v>181</v>
      </c>
      <c r="D133" s="257">
        <v>0</v>
      </c>
      <c r="E133" s="257">
        <v>69.56</v>
      </c>
      <c r="F133" s="257">
        <v>69.56</v>
      </c>
      <c r="G133" s="54"/>
      <c r="H133" s="304"/>
      <c r="I133" s="286"/>
    </row>
    <row r="134" spans="1:9" ht="38.25" hidden="1">
      <c r="A134" s="263">
        <v>111608</v>
      </c>
      <c r="B134" s="265" t="s">
        <v>184</v>
      </c>
      <c r="C134" s="263" t="s">
        <v>181</v>
      </c>
      <c r="D134" s="258">
        <v>35.85</v>
      </c>
      <c r="E134" s="258">
        <v>76.8</v>
      </c>
      <c r="F134" s="258">
        <v>112.65</v>
      </c>
      <c r="G134" s="55"/>
      <c r="H134" s="304"/>
      <c r="I134" s="286"/>
    </row>
    <row r="135" spans="1:9" ht="25.5" hidden="1">
      <c r="A135" s="255">
        <v>111622</v>
      </c>
      <c r="B135" s="256" t="s">
        <v>185</v>
      </c>
      <c r="C135" s="255" t="s">
        <v>186</v>
      </c>
      <c r="D135" s="257">
        <v>12.24</v>
      </c>
      <c r="E135" s="257">
        <v>0</v>
      </c>
      <c r="F135" s="257">
        <v>12.24</v>
      </c>
      <c r="G135" s="54"/>
      <c r="H135" s="304"/>
      <c r="I135" s="286"/>
    </row>
    <row r="136" spans="8:9" ht="12.75" hidden="1">
      <c r="H136" s="286"/>
      <c r="I136" s="286"/>
    </row>
    <row r="137" spans="8:9" ht="12.75" hidden="1">
      <c r="H137" s="286"/>
      <c r="I137" s="286"/>
    </row>
    <row r="138" spans="1:9" ht="15.75" hidden="1">
      <c r="A138" s="551" t="s">
        <v>174</v>
      </c>
      <c r="B138" s="551"/>
      <c r="H138" s="286"/>
      <c r="I138" s="286"/>
    </row>
    <row r="139" spans="8:9" ht="12.75" hidden="1">
      <c r="H139" s="286"/>
      <c r="I139" s="286"/>
    </row>
    <row r="140" spans="1:9" ht="15.75" customHeight="1" hidden="1">
      <c r="A140" s="53" t="s">
        <v>175</v>
      </c>
      <c r="B140" s="53" t="s">
        <v>176</v>
      </c>
      <c r="C140" s="53" t="s">
        <v>66</v>
      </c>
      <c r="D140" s="53" t="s">
        <v>84</v>
      </c>
      <c r="E140" s="53" t="s">
        <v>177</v>
      </c>
      <c r="F140" s="53" t="s">
        <v>65</v>
      </c>
      <c r="G140" s="53" t="s">
        <v>178</v>
      </c>
      <c r="H140" s="303" t="s">
        <v>179</v>
      </c>
      <c r="I140" s="286"/>
    </row>
    <row r="141" spans="1:9" ht="12.75" hidden="1">
      <c r="A141" s="255">
        <v>110110</v>
      </c>
      <c r="B141" s="256" t="s">
        <v>187</v>
      </c>
      <c r="C141" s="255" t="s">
        <v>181</v>
      </c>
      <c r="D141" s="257">
        <v>250.43</v>
      </c>
      <c r="E141" s="257">
        <v>0</v>
      </c>
      <c r="F141" s="257">
        <v>250.43</v>
      </c>
      <c r="G141" s="54"/>
      <c r="H141" s="304"/>
      <c r="I141" s="286"/>
    </row>
    <row r="142" spans="1:9" ht="12.75" hidden="1">
      <c r="A142" s="263">
        <v>110113</v>
      </c>
      <c r="B142" s="265" t="s">
        <v>188</v>
      </c>
      <c r="C142" s="263" t="s">
        <v>181</v>
      </c>
      <c r="D142" s="258">
        <v>259.88</v>
      </c>
      <c r="E142" s="258">
        <v>0</v>
      </c>
      <c r="F142" s="258">
        <v>259.88</v>
      </c>
      <c r="G142" s="55"/>
      <c r="H142" s="304"/>
      <c r="I142" s="286"/>
    </row>
    <row r="143" spans="1:9" ht="12.75" hidden="1">
      <c r="A143" s="255">
        <v>110116</v>
      </c>
      <c r="B143" s="256" t="s">
        <v>189</v>
      </c>
      <c r="C143" s="255" t="s">
        <v>181</v>
      </c>
      <c r="D143" s="257">
        <v>266.44</v>
      </c>
      <c r="E143" s="257">
        <v>0</v>
      </c>
      <c r="F143" s="257">
        <v>266.44</v>
      </c>
      <c r="G143" s="54"/>
      <c r="H143" s="304"/>
      <c r="I143" s="286"/>
    </row>
    <row r="144" spans="1:9" ht="12.75" hidden="1">
      <c r="A144" s="263">
        <v>110117</v>
      </c>
      <c r="B144" s="265" t="s">
        <v>190</v>
      </c>
      <c r="C144" s="263" t="s">
        <v>181</v>
      </c>
      <c r="D144" s="258">
        <v>275.63</v>
      </c>
      <c r="E144" s="258">
        <v>0</v>
      </c>
      <c r="F144" s="258">
        <v>275.63</v>
      </c>
      <c r="G144" s="55"/>
      <c r="H144" s="304"/>
      <c r="I144" s="286"/>
    </row>
    <row r="145" spans="1:9" ht="12.75" hidden="1">
      <c r="A145" s="255">
        <v>110119</v>
      </c>
      <c r="B145" s="256" t="s">
        <v>191</v>
      </c>
      <c r="C145" s="255" t="s">
        <v>181</v>
      </c>
      <c r="D145" s="257">
        <v>284.81</v>
      </c>
      <c r="E145" s="257">
        <v>0</v>
      </c>
      <c r="F145" s="257">
        <v>284.81</v>
      </c>
      <c r="G145" s="54"/>
      <c r="H145" s="304"/>
      <c r="I145" s="286"/>
    </row>
    <row r="146" spans="8:9" ht="12.75" hidden="1">
      <c r="H146" s="286"/>
      <c r="I146" s="286"/>
    </row>
    <row r="147" spans="1:9" ht="15.75" customHeight="1" hidden="1">
      <c r="A147" s="551" t="s">
        <v>174</v>
      </c>
      <c r="B147" s="551"/>
      <c r="H147" s="286"/>
      <c r="I147" s="286"/>
    </row>
    <row r="148" spans="8:9" ht="12.75" hidden="1">
      <c r="H148" s="286"/>
      <c r="I148" s="286"/>
    </row>
    <row r="149" spans="1:9" ht="12.75" hidden="1">
      <c r="A149" s="53" t="s">
        <v>175</v>
      </c>
      <c r="B149" s="53" t="s">
        <v>176</v>
      </c>
      <c r="C149" s="53" t="s">
        <v>66</v>
      </c>
      <c r="D149" s="53" t="s">
        <v>84</v>
      </c>
      <c r="E149" s="53" t="s">
        <v>177</v>
      </c>
      <c r="F149" s="53" t="s">
        <v>65</v>
      </c>
      <c r="G149" s="53" t="s">
        <v>178</v>
      </c>
      <c r="H149" s="303" t="s">
        <v>179</v>
      </c>
      <c r="I149" s="286"/>
    </row>
    <row r="150" spans="1:9" ht="25.5" hidden="1">
      <c r="A150" s="255">
        <v>90102</v>
      </c>
      <c r="B150" s="256" t="s">
        <v>192</v>
      </c>
      <c r="C150" s="255" t="s">
        <v>186</v>
      </c>
      <c r="D150" s="257">
        <v>17.04</v>
      </c>
      <c r="E150" s="257">
        <v>33.39</v>
      </c>
      <c r="F150" s="257">
        <v>50.43</v>
      </c>
      <c r="G150" s="54"/>
      <c r="H150" s="304"/>
      <c r="I150" s="286"/>
    </row>
    <row r="151" spans="1:9" ht="25.5" hidden="1">
      <c r="A151" s="263">
        <v>90103</v>
      </c>
      <c r="B151" s="265" t="s">
        <v>193</v>
      </c>
      <c r="C151" s="263" t="s">
        <v>186</v>
      </c>
      <c r="D151" s="258">
        <v>69.03</v>
      </c>
      <c r="E151" s="258">
        <v>38.54</v>
      </c>
      <c r="F151" s="258">
        <v>107.57</v>
      </c>
      <c r="G151" s="55"/>
      <c r="H151" s="304"/>
      <c r="I151" s="286"/>
    </row>
    <row r="152" spans="1:9" ht="25.5" hidden="1">
      <c r="A152" s="255">
        <v>90104</v>
      </c>
      <c r="B152" s="256" t="s">
        <v>194</v>
      </c>
      <c r="C152" s="255" t="s">
        <v>186</v>
      </c>
      <c r="D152" s="257">
        <v>24.01</v>
      </c>
      <c r="E152" s="257">
        <v>30.83</v>
      </c>
      <c r="F152" s="257">
        <v>54.84</v>
      </c>
      <c r="G152" s="54"/>
      <c r="H152" s="304"/>
      <c r="I152" s="286"/>
    </row>
    <row r="153" spans="8:9" ht="12.75" hidden="1">
      <c r="H153" s="286"/>
      <c r="I153" s="286"/>
    </row>
    <row r="154" spans="1:9" ht="15.75" hidden="1">
      <c r="A154" s="551" t="s">
        <v>174</v>
      </c>
      <c r="B154" s="551"/>
      <c r="H154" s="286"/>
      <c r="I154" s="286"/>
    </row>
    <row r="155" spans="8:9" ht="12.75" hidden="1">
      <c r="H155" s="286"/>
      <c r="I155" s="286"/>
    </row>
    <row r="156" spans="1:9" ht="12.75" hidden="1">
      <c r="A156" s="53" t="s">
        <v>175</v>
      </c>
      <c r="B156" s="53" t="s">
        <v>176</v>
      </c>
      <c r="C156" s="53" t="s">
        <v>66</v>
      </c>
      <c r="D156" s="53" t="s">
        <v>84</v>
      </c>
      <c r="E156" s="53" t="s">
        <v>177</v>
      </c>
      <c r="F156" s="53" t="s">
        <v>65</v>
      </c>
      <c r="G156" s="53" t="s">
        <v>178</v>
      </c>
      <c r="H156" s="303" t="s">
        <v>179</v>
      </c>
      <c r="I156" s="286"/>
    </row>
    <row r="157" spans="1:9" ht="25.5" hidden="1">
      <c r="A157" s="255">
        <v>140420</v>
      </c>
      <c r="B157" s="256" t="s">
        <v>195</v>
      </c>
      <c r="C157" s="255" t="s">
        <v>186</v>
      </c>
      <c r="D157" s="257">
        <v>21.9</v>
      </c>
      <c r="E157" s="257">
        <v>19.37</v>
      </c>
      <c r="F157" s="257">
        <v>41.27</v>
      </c>
      <c r="G157" s="54"/>
      <c r="H157" s="304"/>
      <c r="I157" s="286"/>
    </row>
    <row r="158" spans="1:9" ht="25.5" hidden="1">
      <c r="A158" s="263">
        <v>140421</v>
      </c>
      <c r="B158" s="265" t="s">
        <v>196</v>
      </c>
      <c r="C158" s="263" t="s">
        <v>186</v>
      </c>
      <c r="D158" s="258">
        <v>25.51</v>
      </c>
      <c r="E158" s="258">
        <v>21.03</v>
      </c>
      <c r="F158" s="258">
        <v>46.54</v>
      </c>
      <c r="G158" s="55"/>
      <c r="H158" s="304"/>
      <c r="I158" s="286"/>
    </row>
    <row r="159" spans="1:9" ht="25.5" hidden="1">
      <c r="A159" s="255">
        <v>140422</v>
      </c>
      <c r="B159" s="256" t="s">
        <v>197</v>
      </c>
      <c r="C159" s="255" t="s">
        <v>186</v>
      </c>
      <c r="D159" s="257">
        <v>32.49</v>
      </c>
      <c r="E159" s="257">
        <v>22.56</v>
      </c>
      <c r="F159" s="257">
        <v>55.05</v>
      </c>
      <c r="G159" s="54"/>
      <c r="H159" s="304"/>
      <c r="I159" s="286"/>
    </row>
    <row r="160" spans="8:9" ht="12.75" hidden="1">
      <c r="H160" s="286"/>
      <c r="I160" s="286"/>
    </row>
    <row r="161" spans="1:9" ht="15.75" hidden="1">
      <c r="A161" s="551" t="s">
        <v>174</v>
      </c>
      <c r="B161" s="551"/>
      <c r="H161" s="286"/>
      <c r="I161" s="286"/>
    </row>
    <row r="162" spans="8:9" ht="12.75" hidden="1">
      <c r="H162" s="286"/>
      <c r="I162" s="286"/>
    </row>
    <row r="163" spans="1:9" ht="12.75" hidden="1">
      <c r="A163" s="53" t="s">
        <v>175</v>
      </c>
      <c r="B163" s="53" t="s">
        <v>176</v>
      </c>
      <c r="C163" s="53" t="s">
        <v>66</v>
      </c>
      <c r="D163" s="53" t="s">
        <v>84</v>
      </c>
      <c r="E163" s="53" t="s">
        <v>177</v>
      </c>
      <c r="F163" s="53" t="s">
        <v>65</v>
      </c>
      <c r="G163" s="53" t="s">
        <v>178</v>
      </c>
      <c r="H163" s="303" t="s">
        <v>179</v>
      </c>
      <c r="I163" s="286"/>
    </row>
    <row r="164" spans="1:9" ht="25.5" hidden="1">
      <c r="A164" s="255">
        <v>141010</v>
      </c>
      <c r="B164" s="256" t="s">
        <v>198</v>
      </c>
      <c r="C164" s="255" t="s">
        <v>186</v>
      </c>
      <c r="D164" s="257">
        <v>20.11</v>
      </c>
      <c r="E164" s="257">
        <v>19.37</v>
      </c>
      <c r="F164" s="257">
        <v>39.48</v>
      </c>
      <c r="G164" s="54"/>
      <c r="H164" s="304"/>
      <c r="I164" s="286"/>
    </row>
    <row r="165" spans="1:9" ht="25.5" hidden="1">
      <c r="A165" s="263">
        <v>141011</v>
      </c>
      <c r="B165" s="265" t="s">
        <v>199</v>
      </c>
      <c r="C165" s="263" t="s">
        <v>186</v>
      </c>
      <c r="D165" s="258">
        <v>25.53</v>
      </c>
      <c r="E165" s="258">
        <v>21.03</v>
      </c>
      <c r="F165" s="258">
        <v>46.56</v>
      </c>
      <c r="G165" s="55"/>
      <c r="H165" s="304"/>
      <c r="I165" s="286"/>
    </row>
    <row r="166" spans="1:9" ht="25.5" hidden="1">
      <c r="A166" s="255">
        <v>141012</v>
      </c>
      <c r="B166" s="256" t="s">
        <v>200</v>
      </c>
      <c r="C166" s="255" t="s">
        <v>186</v>
      </c>
      <c r="D166" s="257">
        <v>33.34</v>
      </c>
      <c r="E166" s="257">
        <v>21.5</v>
      </c>
      <c r="F166" s="257">
        <v>54.84</v>
      </c>
      <c r="G166" s="54"/>
      <c r="H166" s="304"/>
      <c r="I166" s="286"/>
    </row>
    <row r="167" spans="1:9" ht="24.75" customHeight="1" hidden="1">
      <c r="A167" s="263">
        <v>141013</v>
      </c>
      <c r="B167" s="265" t="s">
        <v>201</v>
      </c>
      <c r="C167" s="263" t="s">
        <v>186</v>
      </c>
      <c r="D167" s="258">
        <v>20.11</v>
      </c>
      <c r="E167" s="258">
        <v>24.92</v>
      </c>
      <c r="F167" s="258">
        <v>45.03</v>
      </c>
      <c r="G167" s="55"/>
      <c r="H167" s="304"/>
      <c r="I167" s="286"/>
    </row>
    <row r="168" spans="1:9" ht="1.5" customHeight="1" hidden="1">
      <c r="A168" s="255">
        <v>141014</v>
      </c>
      <c r="B168" s="256" t="s">
        <v>202</v>
      </c>
      <c r="C168" s="255" t="s">
        <v>186</v>
      </c>
      <c r="D168" s="257">
        <v>25.53</v>
      </c>
      <c r="E168" s="257">
        <v>27.76</v>
      </c>
      <c r="F168" s="257">
        <v>53.29</v>
      </c>
      <c r="G168" s="54"/>
      <c r="H168" s="304"/>
      <c r="I168" s="286"/>
    </row>
    <row r="169" spans="1:9" ht="25.5" hidden="1">
      <c r="A169" s="263">
        <v>141015</v>
      </c>
      <c r="B169" s="265" t="s">
        <v>203</v>
      </c>
      <c r="C169" s="263" t="s">
        <v>186</v>
      </c>
      <c r="D169" s="258">
        <v>33.34</v>
      </c>
      <c r="E169" s="258">
        <v>29.7</v>
      </c>
      <c r="F169" s="258">
        <v>63.04</v>
      </c>
      <c r="G169" s="55"/>
      <c r="H169" s="304"/>
      <c r="I169" s="286"/>
    </row>
    <row r="170" spans="8:9" ht="12.75" hidden="1">
      <c r="H170" s="286"/>
      <c r="I170" s="286"/>
    </row>
    <row r="171" spans="1:9" ht="12.75" hidden="1">
      <c r="A171" s="4" t="s">
        <v>218</v>
      </c>
      <c r="H171" s="286"/>
      <c r="I171" s="286"/>
    </row>
    <row r="172" spans="1:9" ht="12.75" hidden="1">
      <c r="A172" s="250" t="s">
        <v>204</v>
      </c>
      <c r="H172" s="286"/>
      <c r="I172" s="286"/>
    </row>
    <row r="173" spans="1:9" ht="12.75" hidden="1">
      <c r="A173" s="250" t="s">
        <v>205</v>
      </c>
      <c r="H173" s="286"/>
      <c r="I173" s="286"/>
    </row>
    <row r="174" spans="1:9" ht="12.75" hidden="1">
      <c r="A174" s="250" t="s">
        <v>206</v>
      </c>
      <c r="H174" s="286"/>
      <c r="I174" s="286"/>
    </row>
    <row r="175" spans="1:9" ht="12.75" hidden="1">
      <c r="A175" s="250" t="s">
        <v>207</v>
      </c>
      <c r="H175" s="286"/>
      <c r="I175" s="286"/>
    </row>
    <row r="176" spans="1:9" ht="12.75" hidden="1">
      <c r="A176" s="250" t="s">
        <v>208</v>
      </c>
      <c r="H176" s="286"/>
      <c r="I176" s="286"/>
    </row>
    <row r="177" spans="8:9" ht="12.75" hidden="1">
      <c r="H177" s="286"/>
      <c r="I177" s="286"/>
    </row>
    <row r="178" spans="1:9" ht="12.75" hidden="1">
      <c r="A178" s="53" t="s">
        <v>215</v>
      </c>
      <c r="B178" s="53" t="s">
        <v>176</v>
      </c>
      <c r="C178" s="53" t="s">
        <v>66</v>
      </c>
      <c r="D178" s="53" t="s">
        <v>84</v>
      </c>
      <c r="E178" s="53" t="s">
        <v>177</v>
      </c>
      <c r="F178" s="53" t="s">
        <v>65</v>
      </c>
      <c r="G178" s="53" t="s">
        <v>178</v>
      </c>
      <c r="H178" s="303" t="s">
        <v>179</v>
      </c>
      <c r="I178" s="286"/>
    </row>
    <row r="179" spans="1:9" ht="12.75" hidden="1">
      <c r="A179" s="56">
        <v>110110</v>
      </c>
      <c r="B179" s="57" t="s">
        <v>187</v>
      </c>
      <c r="C179" s="56" t="s">
        <v>181</v>
      </c>
      <c r="D179" s="58">
        <v>250.43</v>
      </c>
      <c r="E179" s="58">
        <v>0</v>
      </c>
      <c r="F179" s="58">
        <v>250.43</v>
      </c>
      <c r="G179" s="59"/>
      <c r="H179" s="305"/>
      <c r="I179" s="286"/>
    </row>
    <row r="180" spans="1:9" ht="12.75" hidden="1">
      <c r="A180" s="60">
        <v>110113</v>
      </c>
      <c r="B180" s="61" t="s">
        <v>188</v>
      </c>
      <c r="C180" s="60" t="s">
        <v>181</v>
      </c>
      <c r="D180" s="62">
        <v>259.88</v>
      </c>
      <c r="E180" s="62">
        <v>0</v>
      </c>
      <c r="F180" s="62">
        <v>259.88</v>
      </c>
      <c r="G180" s="63"/>
      <c r="H180" s="305"/>
      <c r="I180" s="286"/>
    </row>
    <row r="181" spans="1:9" ht="12.75" hidden="1">
      <c r="A181" s="56">
        <v>110116</v>
      </c>
      <c r="B181" s="57" t="s">
        <v>189</v>
      </c>
      <c r="C181" s="56" t="s">
        <v>181</v>
      </c>
      <c r="D181" s="58">
        <v>266.44</v>
      </c>
      <c r="E181" s="58">
        <v>0</v>
      </c>
      <c r="F181" s="58">
        <v>266.44</v>
      </c>
      <c r="G181" s="59"/>
      <c r="H181" s="305"/>
      <c r="I181" s="286"/>
    </row>
    <row r="182" spans="1:9" ht="12.75" hidden="1">
      <c r="A182" s="60">
        <v>110117</v>
      </c>
      <c r="B182" s="61" t="s">
        <v>190</v>
      </c>
      <c r="C182" s="60" t="s">
        <v>181</v>
      </c>
      <c r="D182" s="62">
        <v>275.63</v>
      </c>
      <c r="E182" s="62">
        <v>0</v>
      </c>
      <c r="F182" s="62">
        <v>275.63</v>
      </c>
      <c r="G182" s="63"/>
      <c r="H182" s="305"/>
      <c r="I182" s="286"/>
    </row>
    <row r="183" spans="8:9" ht="12.75" hidden="1">
      <c r="H183" s="286"/>
      <c r="I183" s="286"/>
    </row>
    <row r="184" spans="8:9" ht="12.75" hidden="1">
      <c r="H184" s="286"/>
      <c r="I184" s="286"/>
    </row>
    <row r="185" spans="2:9" ht="12.75" hidden="1">
      <c r="B185" s="250" t="s">
        <v>217</v>
      </c>
      <c r="H185" s="306" t="s">
        <v>218</v>
      </c>
      <c r="I185" s="286"/>
    </row>
    <row r="186" spans="8:9" ht="12.75" hidden="1">
      <c r="H186" s="286"/>
      <c r="I186" s="286"/>
    </row>
    <row r="187" spans="2:9" ht="12.75" hidden="1">
      <c r="B187" s="250" t="s">
        <v>219</v>
      </c>
      <c r="G187" s="250" t="s">
        <v>220</v>
      </c>
      <c r="H187" s="286">
        <v>2.35</v>
      </c>
      <c r="I187" s="286"/>
    </row>
    <row r="188" spans="8:9" ht="12.75" hidden="1">
      <c r="H188" s="286"/>
      <c r="I188" s="286"/>
    </row>
    <row r="189" spans="2:9" ht="12.75" hidden="1">
      <c r="B189" s="250" t="s">
        <v>221</v>
      </c>
      <c r="H189" s="286"/>
      <c r="I189" s="286"/>
    </row>
    <row r="190" spans="8:9" ht="12.75" hidden="1">
      <c r="H190" s="286"/>
      <c r="I190" s="286"/>
    </row>
    <row r="191" spans="8:9" ht="12.75" hidden="1">
      <c r="H191" s="286"/>
      <c r="I191" s="286"/>
    </row>
    <row r="192" spans="8:9" ht="12.75" hidden="1">
      <c r="H192" s="286"/>
      <c r="I192" s="286"/>
    </row>
    <row r="193" spans="8:9" ht="12.75" hidden="1">
      <c r="H193" s="286"/>
      <c r="I193" s="286"/>
    </row>
    <row r="194" spans="8:9" ht="12.75" hidden="1">
      <c r="H194" s="286"/>
      <c r="I194" s="286"/>
    </row>
    <row r="195" spans="8:9" ht="12.75" hidden="1">
      <c r="H195" s="286"/>
      <c r="I195" s="286"/>
    </row>
    <row r="196" spans="8:9" ht="12.75" hidden="1">
      <c r="H196" s="286"/>
      <c r="I196" s="286"/>
    </row>
    <row r="197" spans="8:9" ht="12.75" hidden="1">
      <c r="H197" s="286"/>
      <c r="I197" s="286"/>
    </row>
    <row r="198" spans="8:9" ht="12.75" hidden="1">
      <c r="H198" s="286"/>
      <c r="I198" s="286"/>
    </row>
    <row r="199" spans="8:9" ht="12.75" hidden="1">
      <c r="H199" s="286"/>
      <c r="I199" s="286"/>
    </row>
    <row r="200" spans="8:9" ht="12.75" hidden="1">
      <c r="H200" s="286"/>
      <c r="I200" s="286"/>
    </row>
    <row r="201" spans="8:9" ht="12.75" hidden="1">
      <c r="H201" s="286"/>
      <c r="I201" s="286"/>
    </row>
    <row r="202" spans="8:9" ht="12.75" hidden="1">
      <c r="H202" s="286"/>
      <c r="I202" s="286"/>
    </row>
    <row r="203" spans="8:9" ht="12.75" hidden="1">
      <c r="H203" s="286"/>
      <c r="I203" s="286"/>
    </row>
    <row r="204" spans="8:9" ht="12.75" hidden="1">
      <c r="H204" s="286"/>
      <c r="I204" s="286"/>
    </row>
    <row r="205" spans="8:9" ht="12.75" hidden="1">
      <c r="H205" s="286"/>
      <c r="I205" s="286"/>
    </row>
    <row r="206" spans="8:9" ht="12.75" hidden="1">
      <c r="H206" s="286"/>
      <c r="I206" s="286"/>
    </row>
    <row r="207" spans="8:9" ht="12.75" hidden="1">
      <c r="H207" s="286"/>
      <c r="I207" s="286"/>
    </row>
    <row r="208" spans="8:9" ht="12.75" hidden="1">
      <c r="H208" s="286"/>
      <c r="I208" s="286"/>
    </row>
    <row r="209" spans="8:9" ht="12.75" hidden="1">
      <c r="H209" s="286"/>
      <c r="I209" s="286"/>
    </row>
    <row r="210" spans="8:9" ht="12.75" hidden="1">
      <c r="H210" s="286"/>
      <c r="I210" s="286"/>
    </row>
    <row r="211" spans="8:9" ht="12.75" hidden="1">
      <c r="H211" s="286"/>
      <c r="I211" s="286"/>
    </row>
    <row r="212" spans="8:9" ht="12.75" hidden="1">
      <c r="H212" s="286"/>
      <c r="I212" s="286"/>
    </row>
    <row r="213" spans="8:9" ht="12.75" hidden="1">
      <c r="H213" s="286"/>
      <c r="I213" s="286"/>
    </row>
    <row r="214" spans="8:9" ht="12.75" hidden="1">
      <c r="H214" s="286"/>
      <c r="I214" s="286"/>
    </row>
    <row r="215" spans="8:9" ht="12.75" hidden="1">
      <c r="H215" s="286"/>
      <c r="I215" s="286"/>
    </row>
    <row r="216" spans="8:9" ht="12.75" hidden="1">
      <c r="H216" s="286"/>
      <c r="I216" s="286"/>
    </row>
    <row r="217" spans="8:9" ht="12.75" hidden="1">
      <c r="H217" s="286"/>
      <c r="I217" s="286"/>
    </row>
    <row r="218" spans="8:9" ht="12.75" hidden="1">
      <c r="H218" s="286"/>
      <c r="I218" s="286"/>
    </row>
    <row r="219" spans="8:9" ht="12.75" hidden="1">
      <c r="H219" s="286"/>
      <c r="I219" s="286"/>
    </row>
    <row r="220" spans="8:9" ht="12.75" hidden="1">
      <c r="H220" s="286"/>
      <c r="I220" s="286"/>
    </row>
    <row r="221" spans="8:9" ht="12.75" hidden="1">
      <c r="H221" s="286"/>
      <c r="I221" s="286"/>
    </row>
    <row r="222" spans="8:9" ht="12.75" hidden="1">
      <c r="H222" s="286"/>
      <c r="I222" s="286"/>
    </row>
    <row r="223" spans="8:9" ht="12.75" hidden="1">
      <c r="H223" s="286"/>
      <c r="I223" s="286"/>
    </row>
    <row r="224" spans="8:9" ht="12.75" hidden="1">
      <c r="H224" s="286"/>
      <c r="I224" s="286"/>
    </row>
    <row r="225" spans="8:9" ht="12.75" hidden="1">
      <c r="H225" s="286"/>
      <c r="I225" s="286"/>
    </row>
    <row r="226" spans="8:9" ht="12.75" hidden="1">
      <c r="H226" s="286"/>
      <c r="I226" s="286"/>
    </row>
    <row r="227" spans="8:9" ht="12.75" hidden="1">
      <c r="H227" s="286"/>
      <c r="I227" s="286"/>
    </row>
    <row r="228" spans="8:9" ht="12.75" hidden="1">
      <c r="H228" s="286"/>
      <c r="I228" s="286"/>
    </row>
    <row r="229" spans="8:9" ht="12.75" hidden="1">
      <c r="H229" s="286"/>
      <c r="I229" s="286"/>
    </row>
    <row r="230" spans="8:9" ht="12.75" hidden="1">
      <c r="H230" s="286"/>
      <c r="I230" s="286"/>
    </row>
    <row r="231" spans="8:9" ht="12.75" hidden="1">
      <c r="H231" s="286"/>
      <c r="I231" s="286"/>
    </row>
    <row r="232" spans="8:9" ht="12.75" hidden="1">
      <c r="H232" s="286"/>
      <c r="I232" s="286"/>
    </row>
    <row r="233" spans="8:9" ht="12.75" hidden="1">
      <c r="H233" s="286"/>
      <c r="I233" s="286"/>
    </row>
    <row r="234" spans="8:9" ht="12.75" hidden="1">
      <c r="H234" s="286"/>
      <c r="I234" s="286"/>
    </row>
    <row r="235" spans="8:9" ht="12.75" hidden="1">
      <c r="H235" s="286"/>
      <c r="I235" s="286"/>
    </row>
    <row r="236" spans="8:9" ht="12.75" hidden="1">
      <c r="H236" s="286"/>
      <c r="I236" s="286"/>
    </row>
    <row r="237" spans="8:9" ht="12.75" hidden="1">
      <c r="H237" s="286"/>
      <c r="I237" s="286"/>
    </row>
    <row r="238" spans="8:9" ht="12.75" hidden="1">
      <c r="H238" s="286"/>
      <c r="I238" s="286"/>
    </row>
    <row r="239" spans="8:9" ht="12.75" hidden="1">
      <c r="H239" s="286"/>
      <c r="I239" s="286"/>
    </row>
    <row r="240" spans="8:9" ht="12.75" hidden="1">
      <c r="H240" s="286"/>
      <c r="I240" s="286"/>
    </row>
    <row r="241" spans="8:9" ht="12.75" hidden="1">
      <c r="H241" s="286"/>
      <c r="I241" s="286"/>
    </row>
    <row r="242" spans="8:9" ht="12.75" hidden="1">
      <c r="H242" s="286"/>
      <c r="I242" s="286"/>
    </row>
    <row r="243" spans="8:9" ht="12.75" hidden="1">
      <c r="H243" s="286"/>
      <c r="I243" s="286"/>
    </row>
    <row r="244" spans="8:9" ht="12.75" hidden="1">
      <c r="H244" s="286"/>
      <c r="I244" s="286"/>
    </row>
    <row r="245" spans="8:9" ht="12.75" hidden="1">
      <c r="H245" s="286"/>
      <c r="I245" s="286"/>
    </row>
    <row r="246" spans="8:9" ht="12.75" hidden="1">
      <c r="H246" s="286"/>
      <c r="I246" s="286"/>
    </row>
    <row r="247" spans="8:9" ht="12.75" hidden="1">
      <c r="H247" s="286"/>
      <c r="I247" s="286"/>
    </row>
    <row r="248" spans="8:9" ht="12.75" hidden="1">
      <c r="H248" s="286"/>
      <c r="I248" s="286"/>
    </row>
    <row r="249" spans="8:9" ht="12.75" hidden="1">
      <c r="H249" s="286"/>
      <c r="I249" s="286"/>
    </row>
    <row r="250" spans="8:9" ht="12.75" hidden="1">
      <c r="H250" s="286"/>
      <c r="I250" s="286"/>
    </row>
    <row r="251" spans="8:9" ht="12.75" hidden="1">
      <c r="H251" s="286"/>
      <c r="I251" s="286"/>
    </row>
    <row r="252" spans="8:9" ht="12.75" hidden="1">
      <c r="H252" s="286"/>
      <c r="I252" s="286"/>
    </row>
    <row r="253" spans="8:9" ht="12.75" hidden="1">
      <c r="H253" s="286"/>
      <c r="I253" s="286"/>
    </row>
    <row r="254" spans="8:9" ht="12.75" hidden="1">
      <c r="H254" s="286"/>
      <c r="I254" s="286"/>
    </row>
    <row r="255" spans="8:9" ht="12.75" hidden="1">
      <c r="H255" s="286"/>
      <c r="I255" s="286"/>
    </row>
    <row r="256" spans="8:9" ht="12.75" hidden="1">
      <c r="H256" s="286"/>
      <c r="I256" s="286"/>
    </row>
    <row r="257" spans="8:9" ht="12.75" hidden="1">
      <c r="H257" s="286"/>
      <c r="I257" s="286"/>
    </row>
    <row r="258" spans="8:9" ht="12.75" hidden="1">
      <c r="H258" s="286"/>
      <c r="I258" s="286"/>
    </row>
    <row r="259" spans="8:9" ht="12.75" hidden="1">
      <c r="H259" s="286"/>
      <c r="I259" s="286"/>
    </row>
    <row r="260" spans="8:9" ht="12.75" hidden="1">
      <c r="H260" s="286"/>
      <c r="I260" s="286"/>
    </row>
    <row r="261" spans="8:9" ht="12.75" hidden="1">
      <c r="H261" s="286"/>
      <c r="I261" s="286"/>
    </row>
    <row r="262" spans="8:9" ht="12.75" hidden="1">
      <c r="H262" s="286"/>
      <c r="I262" s="286"/>
    </row>
    <row r="263" spans="8:9" ht="12.75" hidden="1">
      <c r="H263" s="286"/>
      <c r="I263" s="286"/>
    </row>
    <row r="264" spans="8:9" ht="12.75" hidden="1">
      <c r="H264" s="286"/>
      <c r="I264" s="286"/>
    </row>
    <row r="265" spans="8:9" ht="12.75" hidden="1">
      <c r="H265" s="286"/>
      <c r="I265" s="286"/>
    </row>
    <row r="266" spans="8:9" ht="12.75" hidden="1">
      <c r="H266" s="286"/>
      <c r="I266" s="286"/>
    </row>
    <row r="267" spans="8:9" ht="12.75" hidden="1">
      <c r="H267" s="286"/>
      <c r="I267" s="286"/>
    </row>
    <row r="268" spans="8:9" ht="12.75" hidden="1">
      <c r="H268" s="286"/>
      <c r="I268" s="286"/>
    </row>
    <row r="269" spans="8:9" ht="12.75" hidden="1">
      <c r="H269" s="286"/>
      <c r="I269" s="286"/>
    </row>
    <row r="270" spans="8:9" ht="12.75" hidden="1">
      <c r="H270" s="286"/>
      <c r="I270" s="286"/>
    </row>
    <row r="271" spans="8:9" ht="12.75" hidden="1">
      <c r="H271" s="286"/>
      <c r="I271" s="286"/>
    </row>
    <row r="272" spans="8:9" ht="12.75" hidden="1">
      <c r="H272" s="286"/>
      <c r="I272" s="286"/>
    </row>
    <row r="273" spans="8:9" ht="12.75" hidden="1">
      <c r="H273" s="286"/>
      <c r="I273" s="286"/>
    </row>
    <row r="274" spans="8:9" ht="12.75" hidden="1">
      <c r="H274" s="286"/>
      <c r="I274" s="286"/>
    </row>
    <row r="275" spans="8:9" ht="12.75" hidden="1">
      <c r="H275" s="286"/>
      <c r="I275" s="286"/>
    </row>
    <row r="276" spans="8:9" ht="12.75" hidden="1">
      <c r="H276" s="286"/>
      <c r="I276" s="286"/>
    </row>
    <row r="277" spans="8:9" ht="12.75" hidden="1">
      <c r="H277" s="286"/>
      <c r="I277" s="286"/>
    </row>
    <row r="278" spans="8:9" ht="12.75" hidden="1">
      <c r="H278" s="286"/>
      <c r="I278" s="286"/>
    </row>
    <row r="279" spans="8:9" ht="12.75" hidden="1">
      <c r="H279" s="286"/>
      <c r="I279" s="286"/>
    </row>
    <row r="280" spans="8:9" ht="12.75" hidden="1">
      <c r="H280" s="286"/>
      <c r="I280" s="286"/>
    </row>
    <row r="281" spans="8:9" ht="12.75" hidden="1">
      <c r="H281" s="286"/>
      <c r="I281" s="286"/>
    </row>
    <row r="282" spans="8:9" ht="12.75" hidden="1">
      <c r="H282" s="286"/>
      <c r="I282" s="286"/>
    </row>
    <row r="283" spans="8:9" ht="12.75" hidden="1">
      <c r="H283" s="286"/>
      <c r="I283" s="286"/>
    </row>
    <row r="284" spans="8:9" ht="12.75" hidden="1">
      <c r="H284" s="286"/>
      <c r="I284" s="286"/>
    </row>
    <row r="285" spans="8:9" ht="12.75" hidden="1">
      <c r="H285" s="286"/>
      <c r="I285" s="286"/>
    </row>
    <row r="286" spans="8:9" ht="12.75" hidden="1">
      <c r="H286" s="286"/>
      <c r="I286" s="286"/>
    </row>
    <row r="287" spans="8:9" ht="12.75" hidden="1">
      <c r="H287" s="286"/>
      <c r="I287" s="286"/>
    </row>
    <row r="288" spans="8:9" ht="12.75" hidden="1">
      <c r="H288" s="286"/>
      <c r="I288" s="286"/>
    </row>
    <row r="289" spans="8:9" ht="12.75" hidden="1">
      <c r="H289" s="286"/>
      <c r="I289" s="286"/>
    </row>
    <row r="290" spans="8:9" ht="12.75" hidden="1">
      <c r="H290" s="286"/>
      <c r="I290" s="286"/>
    </row>
    <row r="291" spans="8:9" ht="12.75">
      <c r="H291" s="286"/>
      <c r="I291" s="286"/>
    </row>
    <row r="292" spans="8:9" ht="12.75">
      <c r="H292" s="286"/>
      <c r="I292" s="286"/>
    </row>
    <row r="293" spans="8:9" ht="12.75">
      <c r="H293" s="286"/>
      <c r="I293" s="286"/>
    </row>
    <row r="294" spans="8:9" ht="12.75">
      <c r="H294" s="286"/>
      <c r="I294" s="286"/>
    </row>
    <row r="295" spans="8:9" ht="12.75">
      <c r="H295" s="286"/>
      <c r="I295" s="286"/>
    </row>
    <row r="296" spans="8:9" ht="12.75">
      <c r="H296" s="286"/>
      <c r="I296" s="286"/>
    </row>
    <row r="297" spans="8:9" ht="12.75">
      <c r="H297" s="286"/>
      <c r="I297" s="286"/>
    </row>
  </sheetData>
  <sheetProtection/>
  <mergeCells count="30">
    <mergeCell ref="A161:B161"/>
    <mergeCell ref="A40:A41"/>
    <mergeCell ref="A42:D42"/>
    <mergeCell ref="A102:A106"/>
    <mergeCell ref="A110:A114"/>
    <mergeCell ref="A115:E115"/>
    <mergeCell ref="A116:E116"/>
    <mergeCell ref="A89:F89"/>
    <mergeCell ref="A98:E98"/>
    <mergeCell ref="A91:A94"/>
    <mergeCell ref="A20:A22"/>
    <mergeCell ref="A72:A74"/>
    <mergeCell ref="A138:B138"/>
    <mergeCell ref="A154:B154"/>
    <mergeCell ref="A88:F88"/>
    <mergeCell ref="A128:B128"/>
    <mergeCell ref="A97:E97"/>
    <mergeCell ref="A77:A79"/>
    <mergeCell ref="A80:E80"/>
    <mergeCell ref="A70:E70"/>
    <mergeCell ref="A10:A14"/>
    <mergeCell ref="A25:A28"/>
    <mergeCell ref="A147:B147"/>
    <mergeCell ref="A48:A52"/>
    <mergeCell ref="A56:A58"/>
    <mergeCell ref="A62:A64"/>
    <mergeCell ref="A75:E75"/>
    <mergeCell ref="A82:A86"/>
    <mergeCell ref="A65:E65"/>
    <mergeCell ref="A67:A69"/>
  </mergeCells>
  <printOptions/>
  <pageMargins left="0.511811024" right="0.511811024" top="0.787401575" bottom="0.787401575" header="0.31496062" footer="0.31496062"/>
  <pageSetup horizontalDpi="600" verticalDpi="600" orientation="landscape" paperSize="9" scale="78" r:id="rId2"/>
  <rowBreaks count="1" manualBreakCount="1">
    <brk id="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Luiz Roberto</dc:creator>
  <cp:keywords/>
  <dc:description/>
  <cp:lastModifiedBy>Usuario</cp:lastModifiedBy>
  <cp:lastPrinted>2017-04-03T15:08:11Z</cp:lastPrinted>
  <dcterms:created xsi:type="dcterms:W3CDTF">2011-08-25T13:43:58Z</dcterms:created>
  <dcterms:modified xsi:type="dcterms:W3CDTF">2018-02-09T12:23:19Z</dcterms:modified>
  <cp:category/>
  <cp:version/>
  <cp:contentType/>
  <cp:contentStatus/>
</cp:coreProperties>
</file>